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702"/>
  <workbookPr codeName="ThisWorkbook"/>
  <mc:AlternateContent xmlns:mc="http://schemas.openxmlformats.org/markup-compatibility/2006">
    <mc:Choice Requires="x15">
      <x15ac:absPath xmlns:x15ac="http://schemas.microsoft.com/office/spreadsheetml/2010/11/ac" url="/Users/000764698/Desktop/SJMC Media/"/>
    </mc:Choice>
  </mc:AlternateContent>
  <workbookProtection workbookAlgorithmName="SHA-512" workbookHashValue="Qb3XLHilP/y5MS2TE8gjJ2fItNYiN9ZCZuUHecEpfwfFHGx6NeTLG9JvO7wBk78lGGdmyTupjfl8IK8Uu4F4pQ==" workbookSaltValue="WwCF4eilMiOhhDA+BCBdpA==" workbookSpinCount="100000" lockStructure="1"/>
  <bookViews>
    <workbookView xWindow="0" yWindow="460" windowWidth="14380" windowHeight="12300" tabRatio="690"/>
  </bookViews>
  <sheets>
    <sheet name="Sheet1" sheetId="1" r:id="rId1"/>
    <sheet name="COURSES_ADV" sheetId="3" state="hidden" r:id="rId2"/>
    <sheet name="AOC_AS_NON_100L" sheetId="17" state="hidden" r:id="rId3"/>
    <sheet name="ART_AOI" sheetId="2" r:id="rId4"/>
    <sheet name="CITZ_AOI" sheetId="6" r:id="rId5"/>
    <sheet name="CRIT_AOI" sheetId="7" r:id="rId6"/>
    <sheet name="GLOB_AOI" sheetId="8" r:id="rId7"/>
    <sheet name="HIST_AOI" sheetId="9" r:id="rId8"/>
    <sheet name="INFO_AOI" sheetId="10" r:id="rId9"/>
    <sheet name="LIFE_AOI" sheetId="11" r:id="rId10"/>
    <sheet name="PHSC_AOI" sheetId="12" r:id="rId11"/>
    <sheet name="SCI._LAB_AOI" sheetId="16" r:id="rId12"/>
    <sheet name="QUAN_AOI" sheetId="13" r:id="rId13"/>
    <sheet name="VE_AOI" sheetId="14" r:id="rId14"/>
    <sheet name="WRIT_AOI" sheetId="15" r:id="rId15"/>
    <sheet name="JMC Courses" sheetId="4" state="hidden" r:id="rId16"/>
    <sheet name="A&amp;S" sheetId="5" state="hidden" r:id="rId17"/>
  </sheets>
  <definedNames>
    <definedName name="ADVG">'JMC Courses'!$A$27:$B$38</definedName>
    <definedName name="ADVG_CHECK">'JMC Courses'!$G$27:$G$38</definedName>
    <definedName name="ADVISORS">COURSES_ADV!$L$2:$L$13</definedName>
    <definedName name="ARTSAOI">ART_AOI!$A$1:$A$58</definedName>
    <definedName name="ASLIST">'A&amp;S'!$B$2:$B$44</definedName>
    <definedName name="CITZAOI">CITZ_AOI!$A$1:$A$112</definedName>
    <definedName name="Course">COURSES_ADV!$A$1:$A$69</definedName>
    <definedName name="CourseCode">COURSES_ADV!$B$1:$B$69</definedName>
    <definedName name="CourseNumber">COURSES_ADV!$E$1:$E$401</definedName>
    <definedName name="Credits">COURSES_ADV!$J$2:$J$8</definedName>
    <definedName name="CRITAOI">CRIT_AOI!$A$1:$A$67</definedName>
    <definedName name="CRSENMBR">Sheet1!$C$19:$C$27,Sheet1!$C$34:$C$42</definedName>
    <definedName name="Fulfills">COURSES_ADV!$H$2:$H$22</definedName>
    <definedName name="FULFILLSCLMS">Sheet1!$I$19:$J$27,Sheet1!$I$34:$J$42</definedName>
    <definedName name="GLOBAOI">GLOB_AOI!$A$1:$A$156</definedName>
    <definedName name="HISTAOI">HIST_AOI!$A$1:$A$91</definedName>
    <definedName name="INFOAOI">INFO_AOI!$A$1:$A$25</definedName>
    <definedName name="LIFEAOI">LIFE_AOI!$A$1:$A$26</definedName>
    <definedName name="MAJORS">'JMC Courses'!$F$1:$F$6</definedName>
    <definedName name="MAJORS2">'JMC Courses'!$F$1:$R$6</definedName>
    <definedName name="MDPR">'JMC Courses'!$A$52:$B$60</definedName>
    <definedName name="MDPR_CHECK">'JMC Courses'!$G$52:$G$60</definedName>
    <definedName name="MMAG">'JMC Courses'!$A$42:$B$48</definedName>
    <definedName name="MMAG_CHECK">'JMC Courses'!$G$42:$G$48</definedName>
    <definedName name="MNEW">'JMC Courses'!$A$65:$B$74</definedName>
    <definedName name="MNEW_CHECK">'JMC Courses'!$G$65:$G$72</definedName>
    <definedName name="NEWSCORE">'JMC Courses'!$J$65:$J$78</definedName>
    <definedName name="PHSCAOI">PHSC_AOI!$A$1:$A$25</definedName>
    <definedName name="PR">'JMC Courses'!$A$14:$B$23</definedName>
    <definedName name="PR_CHECK">'JMC Courses'!$G$14:$G$23</definedName>
    <definedName name="QUANAOI">QUAN_AOI!$A$1:$A$18</definedName>
    <definedName name="ROWHELP">Sheet1!$I$19:$J$19,Sheet1!$I$34:$J$34</definedName>
    <definedName name="SCI.AOI">LIFE_AOI!$A$1:$A$26</definedName>
    <definedName name="SCILABAOI">SCI._LAB_AOI!$A$1:$A$17</definedName>
    <definedName name="SINGLEAS">'A&amp;S'!$E$2:$E$7</definedName>
    <definedName name="SPC">'JMC Courses'!$A$78:$B$90</definedName>
    <definedName name="SPC_CHECK">'JMC Courses'!$G$78:$G$89</definedName>
    <definedName name="SUBJCRSENMBR">Sheet1!$D$19:$D$27,Sheet1!$D$34:$D$42</definedName>
    <definedName name="VEAOI">VE_AOI!$A$1:$A$32</definedName>
    <definedName name="WRITAOI">WRIT_AOI!$A$1:$A$31</definedName>
  </definedNames>
  <calcPr calcId="162913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9" i="4" l="1"/>
  <c r="X101" i="4"/>
  <c r="X92" i="4" a="1"/>
  <c r="X95" i="4"/>
  <c r="W92" i="4" a="1"/>
  <c r="W92" i="4"/>
  <c r="X83" i="4" a="1"/>
  <c r="X83" i="4"/>
  <c r="W83" i="4" a="1"/>
  <c r="W86" i="4"/>
  <c r="X74" i="4" a="1"/>
  <c r="X77" i="4"/>
  <c r="W74" i="4" a="1"/>
  <c r="W77" i="4"/>
  <c r="X65" i="4" a="1"/>
  <c r="X68" i="4"/>
  <c r="W65" i="4" a="1"/>
  <c r="W67" i="4"/>
  <c r="X56" i="4" a="1"/>
  <c r="X56" i="4"/>
  <c r="W57" i="4"/>
  <c r="W58" i="4"/>
  <c r="W59" i="4"/>
  <c r="W60" i="4"/>
  <c r="W61" i="4"/>
  <c r="W62" i="4"/>
  <c r="W63" i="4"/>
  <c r="W64" i="4"/>
  <c r="W56" i="4"/>
  <c r="X47" i="4" a="1"/>
  <c r="X50" i="4"/>
  <c r="W47" i="4" a="1"/>
  <c r="W47" i="4"/>
  <c r="X38" i="4" a="1"/>
  <c r="X39" i="4"/>
  <c r="W38" i="4" a="1"/>
  <c r="W38" i="4"/>
  <c r="X29" i="4" a="1"/>
  <c r="X30" i="4"/>
  <c r="W29" i="4" a="1"/>
  <c r="W32" i="4"/>
  <c r="X20" i="4" a="1"/>
  <c r="X23" i="4"/>
  <c r="W20" i="4" a="1"/>
  <c r="W20" i="4"/>
  <c r="X11" i="4" a="1"/>
  <c r="X11" i="4"/>
  <c r="W11" i="4" a="1"/>
  <c r="W14" i="4"/>
  <c r="X2" i="4" a="1"/>
  <c r="X5" i="4"/>
  <c r="W2" i="4" a="1"/>
  <c r="W3" i="4"/>
  <c r="G87" i="4" a="1"/>
  <c r="G87" i="4"/>
  <c r="X98" i="4"/>
  <c r="X94" i="4"/>
  <c r="X100" i="4"/>
  <c r="X96" i="4"/>
  <c r="X92" i="4"/>
  <c r="X97" i="4"/>
  <c r="X93" i="4"/>
  <c r="X99" i="4"/>
  <c r="W99" i="4"/>
  <c r="W98" i="4"/>
  <c r="W94" i="4"/>
  <c r="W97" i="4"/>
  <c r="W93" i="4"/>
  <c r="W95" i="4"/>
  <c r="W100" i="4"/>
  <c r="W96" i="4"/>
  <c r="X90" i="4"/>
  <c r="X86" i="4"/>
  <c r="X89" i="4"/>
  <c r="X85" i="4"/>
  <c r="X88" i="4"/>
  <c r="X84" i="4"/>
  <c r="X91" i="4"/>
  <c r="X87" i="4"/>
  <c r="W89" i="4"/>
  <c r="W85" i="4"/>
  <c r="W88" i="4"/>
  <c r="W84" i="4"/>
  <c r="W91" i="4"/>
  <c r="W87" i="4"/>
  <c r="W83" i="4"/>
  <c r="W90" i="4"/>
  <c r="X80" i="4"/>
  <c r="X76" i="4"/>
  <c r="X79" i="4"/>
  <c r="X75" i="4"/>
  <c r="X82" i="4"/>
  <c r="X78" i="4"/>
  <c r="X74" i="4"/>
  <c r="X81" i="4"/>
  <c r="W80" i="4"/>
  <c r="W76" i="4"/>
  <c r="W79" i="4"/>
  <c r="W75" i="4"/>
  <c r="W82" i="4"/>
  <c r="W78" i="4"/>
  <c r="W74" i="4"/>
  <c r="W81" i="4"/>
  <c r="X71" i="4"/>
  <c r="X67" i="4"/>
  <c r="X70" i="4"/>
  <c r="X66" i="4"/>
  <c r="X73" i="4"/>
  <c r="X69" i="4"/>
  <c r="X65" i="4"/>
  <c r="X72" i="4"/>
  <c r="W70" i="4"/>
  <c r="W66" i="4"/>
  <c r="W73" i="4"/>
  <c r="W69" i="4"/>
  <c r="W65" i="4"/>
  <c r="W72" i="4"/>
  <c r="W68" i="4"/>
  <c r="W71" i="4"/>
  <c r="X62" i="4"/>
  <c r="X58" i="4"/>
  <c r="X63" i="4"/>
  <c r="X59" i="4"/>
  <c r="X61" i="4"/>
  <c r="X57" i="4"/>
  <c r="X64" i="4"/>
  <c r="X60" i="4"/>
  <c r="X53" i="4"/>
  <c r="X49" i="4"/>
  <c r="X52" i="4"/>
  <c r="X48" i="4"/>
  <c r="X47" i="4"/>
  <c r="X55" i="4"/>
  <c r="X51" i="4"/>
  <c r="X54" i="4"/>
  <c r="W53" i="4"/>
  <c r="W49" i="4"/>
  <c r="W54" i="4"/>
  <c r="W50" i="4"/>
  <c r="W52" i="4"/>
  <c r="W48" i="4"/>
  <c r="W55" i="4"/>
  <c r="W51" i="4"/>
  <c r="X44" i="4"/>
  <c r="X40" i="4"/>
  <c r="X46" i="4"/>
  <c r="X42" i="4"/>
  <c r="X38" i="4"/>
  <c r="X45" i="4"/>
  <c r="X41" i="4"/>
  <c r="X43" i="4"/>
  <c r="W45" i="4"/>
  <c r="W41" i="4"/>
  <c r="W44" i="4"/>
  <c r="W40" i="4"/>
  <c r="W43" i="4"/>
  <c r="W39" i="4"/>
  <c r="W46" i="4"/>
  <c r="W42" i="4"/>
  <c r="X37" i="4"/>
  <c r="X33" i="4"/>
  <c r="X29" i="4"/>
  <c r="X36" i="4"/>
  <c r="X32" i="4"/>
  <c r="X35" i="4"/>
  <c r="X31" i="4"/>
  <c r="X34" i="4"/>
  <c r="W35" i="4"/>
  <c r="W31" i="4"/>
  <c r="W34" i="4"/>
  <c r="W30" i="4"/>
  <c r="W37" i="4"/>
  <c r="W33" i="4"/>
  <c r="W29" i="4"/>
  <c r="W36" i="4"/>
  <c r="X26" i="4"/>
  <c r="X22" i="4"/>
  <c r="X20" i="4"/>
  <c r="X25" i="4"/>
  <c r="X21" i="4"/>
  <c r="X28" i="4"/>
  <c r="X24" i="4"/>
  <c r="X27" i="4"/>
  <c r="W27" i="4"/>
  <c r="W23" i="4"/>
  <c r="W26" i="4"/>
  <c r="W22" i="4"/>
  <c r="W25" i="4"/>
  <c r="W21" i="4"/>
  <c r="W28" i="4"/>
  <c r="W24" i="4"/>
  <c r="X14" i="4"/>
  <c r="X17" i="4"/>
  <c r="X16" i="4"/>
  <c r="X12" i="4"/>
  <c r="X18" i="4"/>
  <c r="X13" i="4"/>
  <c r="X19" i="4"/>
  <c r="X15" i="4"/>
  <c r="W17" i="4"/>
  <c r="W13" i="4"/>
  <c r="W16" i="4"/>
  <c r="W12" i="4"/>
  <c r="W19" i="4"/>
  <c r="W15" i="4"/>
  <c r="W11" i="4"/>
  <c r="W18" i="4"/>
  <c r="X8" i="4"/>
  <c r="X4" i="4"/>
  <c r="X2" i="4"/>
  <c r="X7" i="4"/>
  <c r="X3" i="4"/>
  <c r="X10" i="4"/>
  <c r="X6" i="4"/>
  <c r="X9" i="4"/>
  <c r="W10" i="4"/>
  <c r="W6" i="4"/>
  <c r="W2" i="4"/>
  <c r="W9" i="4"/>
  <c r="W5" i="4"/>
  <c r="W8" i="4"/>
  <c r="W4" i="4"/>
  <c r="W7" i="4"/>
  <c r="N92" i="17" a="1"/>
  <c r="N92" i="17"/>
  <c r="N83" i="17" a="1"/>
  <c r="N83" i="17"/>
  <c r="N74" i="17" a="1"/>
  <c r="N76" i="17"/>
  <c r="N65" i="17" a="1"/>
  <c r="N67" i="17"/>
  <c r="N56" i="17" a="1"/>
  <c r="N57" i="17"/>
  <c r="N47" i="17" a="1"/>
  <c r="N48" i="17"/>
  <c r="N38" i="17" a="1"/>
  <c r="N38" i="17"/>
  <c r="N29" i="17" a="1"/>
  <c r="N29" i="17"/>
  <c r="N20" i="17" a="1"/>
  <c r="N23" i="17"/>
  <c r="N11" i="17" a="1"/>
  <c r="N11" i="17"/>
  <c r="N2" i="17" a="1"/>
  <c r="N4" i="17"/>
  <c r="M92" i="17" a="1"/>
  <c r="M92" i="17"/>
  <c r="M83" i="17" a="1"/>
  <c r="M85" i="17"/>
  <c r="M83" i="17"/>
  <c r="M84" i="17"/>
  <c r="M86" i="17"/>
  <c r="M87" i="17"/>
  <c r="M88" i="17"/>
  <c r="M90" i="17"/>
  <c r="M91" i="17"/>
  <c r="M74" i="17" a="1"/>
  <c r="M77" i="17"/>
  <c r="M65" i="17" a="1"/>
  <c r="M68" i="17"/>
  <c r="M56" i="17" a="1"/>
  <c r="M56" i="17"/>
  <c r="M47" i="17" a="1"/>
  <c r="M47" i="17"/>
  <c r="M38" i="17" a="1"/>
  <c r="M40" i="17"/>
  <c r="M29" i="17" a="1"/>
  <c r="M32" i="17"/>
  <c r="M20" i="17" a="1"/>
  <c r="M20" i="17"/>
  <c r="M11" i="17" a="1"/>
  <c r="M11" i="17"/>
  <c r="H83" i="17" a="1"/>
  <c r="H86" i="17"/>
  <c r="G83" i="17" a="1"/>
  <c r="G83" i="17"/>
  <c r="U92" i="4" a="1"/>
  <c r="U92" i="4"/>
  <c r="T92" i="4" a="1"/>
  <c r="T95" i="4"/>
  <c r="U83" i="4" a="1"/>
  <c r="U86" i="4"/>
  <c r="T83" i="4" a="1"/>
  <c r="T86" i="4"/>
  <c r="U74" i="4" a="1"/>
  <c r="U75" i="4"/>
  <c r="T74" i="4" a="1"/>
  <c r="T77" i="4"/>
  <c r="U65" i="4" a="1"/>
  <c r="U68" i="4"/>
  <c r="T65" i="4" a="1"/>
  <c r="T68" i="4"/>
  <c r="U56" i="4" a="1"/>
  <c r="U59" i="4"/>
  <c r="T56" i="4" a="1"/>
  <c r="T56" i="4"/>
  <c r="U47" i="4" a="1"/>
  <c r="U47" i="4"/>
  <c r="T47" i="4" a="1"/>
  <c r="T50" i="4"/>
  <c r="U38" i="4" a="1"/>
  <c r="U41" i="4"/>
  <c r="T38" i="4" a="1"/>
  <c r="T41" i="4"/>
  <c r="U29" i="4" a="1"/>
  <c r="U32" i="4"/>
  <c r="T29" i="4" a="1"/>
  <c r="T32" i="4"/>
  <c r="U11" i="4" a="1"/>
  <c r="U12" i="4"/>
  <c r="T11" i="4" a="1"/>
  <c r="T11" i="4"/>
  <c r="G71" i="4" a="1"/>
  <c r="J2" i="17" a="1"/>
  <c r="J5" i="17"/>
  <c r="H92" i="17" a="1"/>
  <c r="H95" i="17"/>
  <c r="G92" i="17" a="1"/>
  <c r="G95" i="17"/>
  <c r="H74" i="17" a="1"/>
  <c r="H77" i="17"/>
  <c r="G74" i="17" a="1"/>
  <c r="G75" i="17"/>
  <c r="H65" i="17" a="1"/>
  <c r="H68" i="17"/>
  <c r="G65" i="17" a="1"/>
  <c r="G68" i="17"/>
  <c r="H56" i="17" a="1"/>
  <c r="H59" i="17"/>
  <c r="G56" i="17" a="1"/>
  <c r="G59" i="17"/>
  <c r="H47" i="17" a="1"/>
  <c r="H50" i="17"/>
  <c r="G47" i="17" a="1"/>
  <c r="G49" i="17"/>
  <c r="H38" i="17" a="1"/>
  <c r="H38" i="17"/>
  <c r="G38" i="17" a="1"/>
  <c r="G41" i="17"/>
  <c r="H29" i="17" a="1"/>
  <c r="H31" i="17"/>
  <c r="H29" i="17"/>
  <c r="H32" i="17"/>
  <c r="H33" i="17"/>
  <c r="H34" i="17"/>
  <c r="H37" i="17"/>
  <c r="G29" i="17" a="1"/>
  <c r="G32" i="17"/>
  <c r="H20" i="17" a="1"/>
  <c r="G20" i="17" a="1"/>
  <c r="H11" i="17" a="1"/>
  <c r="H11" i="17"/>
  <c r="G11" i="17" a="1"/>
  <c r="G14" i="17"/>
  <c r="H2" i="17" a="1"/>
  <c r="G2" i="17" a="1"/>
  <c r="N99" i="17"/>
  <c r="N95" i="17"/>
  <c r="N98" i="17"/>
  <c r="N94" i="17"/>
  <c r="N97" i="17"/>
  <c r="N93" i="17"/>
  <c r="N100" i="17"/>
  <c r="N96" i="17"/>
  <c r="N86" i="17"/>
  <c r="N89" i="17"/>
  <c r="N85" i="17"/>
  <c r="N90" i="17"/>
  <c r="N88" i="17"/>
  <c r="N84" i="17"/>
  <c r="N91" i="17"/>
  <c r="N87" i="17"/>
  <c r="N79" i="17"/>
  <c r="N75" i="17"/>
  <c r="N82" i="17"/>
  <c r="N78" i="17"/>
  <c r="N74" i="17"/>
  <c r="N81" i="17"/>
  <c r="N77" i="17"/>
  <c r="N80" i="17"/>
  <c r="N70" i="17"/>
  <c r="N66" i="17"/>
  <c r="N73" i="17"/>
  <c r="N69" i="17"/>
  <c r="N65" i="17"/>
  <c r="N72" i="17"/>
  <c r="N68" i="17"/>
  <c r="N71" i="17"/>
  <c r="N64" i="17"/>
  <c r="N56" i="17"/>
  <c r="N59" i="17"/>
  <c r="N62" i="17"/>
  <c r="N58" i="17"/>
  <c r="N60" i="17"/>
  <c r="N63" i="17"/>
  <c r="N61" i="17"/>
  <c r="N53" i="17"/>
  <c r="N49" i="17"/>
  <c r="N55" i="17"/>
  <c r="N51" i="17"/>
  <c r="N47" i="17"/>
  <c r="N54" i="17"/>
  <c r="N50" i="17"/>
  <c r="N52" i="17"/>
  <c r="N44" i="17"/>
  <c r="N40" i="17"/>
  <c r="N41" i="17"/>
  <c r="N43" i="17"/>
  <c r="N39" i="17"/>
  <c r="N45" i="17"/>
  <c r="N46" i="17"/>
  <c r="N42" i="17"/>
  <c r="N36" i="17"/>
  <c r="N32" i="17"/>
  <c r="N35" i="17"/>
  <c r="N31" i="17"/>
  <c r="N34" i="17"/>
  <c r="N30" i="17"/>
  <c r="N37" i="17"/>
  <c r="N33" i="17"/>
  <c r="N26" i="17"/>
  <c r="N22" i="17"/>
  <c r="N25" i="17"/>
  <c r="N21" i="17"/>
  <c r="N28" i="17"/>
  <c r="N24" i="17"/>
  <c r="N20" i="17"/>
  <c r="N27" i="17"/>
  <c r="N14" i="17"/>
  <c r="N17" i="17"/>
  <c r="N13" i="17"/>
  <c r="N18" i="17"/>
  <c r="N16" i="17"/>
  <c r="N12" i="17"/>
  <c r="N19" i="17"/>
  <c r="N15" i="17"/>
  <c r="N7" i="17"/>
  <c r="N3" i="17"/>
  <c r="N10" i="17"/>
  <c r="N6" i="17"/>
  <c r="N2" i="17"/>
  <c r="N9" i="17"/>
  <c r="N5" i="17"/>
  <c r="N8" i="17"/>
  <c r="M99" i="17"/>
  <c r="M95" i="17"/>
  <c r="M98" i="17"/>
  <c r="M94" i="17"/>
  <c r="M97" i="17"/>
  <c r="M93" i="17"/>
  <c r="M100" i="17"/>
  <c r="M96" i="17"/>
  <c r="M89" i="17"/>
  <c r="M80" i="17"/>
  <c r="M76" i="17"/>
  <c r="M79" i="17"/>
  <c r="M75" i="17"/>
  <c r="M82" i="17"/>
  <c r="M78" i="17"/>
  <c r="M74" i="17"/>
  <c r="M81" i="17"/>
  <c r="M71" i="17"/>
  <c r="M67" i="17"/>
  <c r="M72" i="17"/>
  <c r="M70" i="17"/>
  <c r="M66" i="17"/>
  <c r="M73" i="17"/>
  <c r="M69" i="17"/>
  <c r="M65" i="17"/>
  <c r="M63" i="17"/>
  <c r="M59" i="17"/>
  <c r="M62" i="17"/>
  <c r="M58" i="17"/>
  <c r="M61" i="17"/>
  <c r="M57" i="17"/>
  <c r="M64" i="17"/>
  <c r="M60" i="17"/>
  <c r="M54" i="17"/>
  <c r="M50" i="17"/>
  <c r="M53" i="17"/>
  <c r="M49" i="17"/>
  <c r="M52" i="17"/>
  <c r="M48" i="17"/>
  <c r="M55" i="17"/>
  <c r="M51" i="17"/>
  <c r="M43" i="17"/>
  <c r="M39" i="17"/>
  <c r="M46" i="17"/>
  <c r="M42" i="17"/>
  <c r="M38" i="17"/>
  <c r="M45" i="17"/>
  <c r="M41" i="17"/>
  <c r="M44" i="17"/>
  <c r="M35" i="17"/>
  <c r="M31" i="17"/>
  <c r="M29" i="17"/>
  <c r="M34" i="17"/>
  <c r="M30" i="17"/>
  <c r="M37" i="17"/>
  <c r="M33" i="17"/>
  <c r="M36" i="17"/>
  <c r="M21" i="17"/>
  <c r="M27" i="17"/>
  <c r="M23" i="17"/>
  <c r="M26" i="17"/>
  <c r="M22" i="17"/>
  <c r="M25" i="17"/>
  <c r="M28" i="17"/>
  <c r="M24" i="17"/>
  <c r="M17" i="17"/>
  <c r="M13" i="17"/>
  <c r="M18" i="17"/>
  <c r="M14" i="17"/>
  <c r="M16" i="17"/>
  <c r="M12" i="17"/>
  <c r="M19" i="17"/>
  <c r="M15" i="17"/>
  <c r="H89" i="17"/>
  <c r="H85" i="17"/>
  <c r="H91" i="17"/>
  <c r="H87" i="17"/>
  <c r="H83" i="17"/>
  <c r="H88" i="17"/>
  <c r="H84" i="17"/>
  <c r="H90" i="17"/>
  <c r="G90" i="17"/>
  <c r="G86" i="17"/>
  <c r="G89" i="17"/>
  <c r="G85" i="17"/>
  <c r="G88" i="17"/>
  <c r="G84" i="17"/>
  <c r="G91" i="17"/>
  <c r="G87" i="17"/>
  <c r="U99" i="4"/>
  <c r="U95" i="4"/>
  <c r="U98" i="4"/>
  <c r="U94" i="4"/>
  <c r="U97" i="4"/>
  <c r="U93" i="4"/>
  <c r="U100" i="4"/>
  <c r="U96" i="4"/>
  <c r="T98" i="4"/>
  <c r="T94" i="4"/>
  <c r="T100" i="4"/>
  <c r="T96" i="4"/>
  <c r="T92" i="4"/>
  <c r="T97" i="4"/>
  <c r="T93" i="4"/>
  <c r="T99" i="4"/>
  <c r="U89" i="4"/>
  <c r="U85" i="4"/>
  <c r="U83" i="4"/>
  <c r="U88" i="4"/>
  <c r="U84" i="4"/>
  <c r="U91" i="4"/>
  <c r="U87" i="4"/>
  <c r="U90" i="4"/>
  <c r="T89" i="4"/>
  <c r="T85" i="4"/>
  <c r="T91" i="4"/>
  <c r="T88" i="4"/>
  <c r="T84" i="4"/>
  <c r="T87" i="4"/>
  <c r="T83" i="4"/>
  <c r="T90" i="4"/>
  <c r="U82" i="4"/>
  <c r="U78" i="4"/>
  <c r="U74" i="4"/>
  <c r="U81" i="4"/>
  <c r="U77" i="4"/>
  <c r="U80" i="4"/>
  <c r="U76" i="4"/>
  <c r="U79" i="4"/>
  <c r="T80" i="4"/>
  <c r="T76" i="4"/>
  <c r="T82" i="4"/>
  <c r="T78" i="4"/>
  <c r="T74" i="4"/>
  <c r="T79" i="4"/>
  <c r="T75" i="4"/>
  <c r="T81" i="4"/>
  <c r="U71" i="4"/>
  <c r="U67" i="4"/>
  <c r="U73" i="4"/>
  <c r="U69" i="4"/>
  <c r="U65" i="4"/>
  <c r="U70" i="4"/>
  <c r="U66" i="4"/>
  <c r="U72" i="4"/>
  <c r="T71" i="4"/>
  <c r="T67" i="4"/>
  <c r="T73" i="4"/>
  <c r="T65" i="4"/>
  <c r="T70" i="4"/>
  <c r="T66" i="4"/>
  <c r="T69" i="4"/>
  <c r="T72" i="4"/>
  <c r="U62" i="4"/>
  <c r="U58" i="4"/>
  <c r="U64" i="4"/>
  <c r="U56" i="4"/>
  <c r="U61" i="4"/>
  <c r="U57" i="4"/>
  <c r="U60" i="4"/>
  <c r="U63" i="4"/>
  <c r="T63" i="4"/>
  <c r="T59" i="4"/>
  <c r="T62" i="4"/>
  <c r="T58" i="4"/>
  <c r="T61" i="4"/>
  <c r="T57" i="4"/>
  <c r="T64" i="4"/>
  <c r="T60" i="4"/>
  <c r="U54" i="4"/>
  <c r="U50" i="4"/>
  <c r="U53" i="4"/>
  <c r="U49" i="4"/>
  <c r="U52" i="4"/>
  <c r="U48" i="4"/>
  <c r="U55" i="4"/>
  <c r="U51" i="4"/>
  <c r="T53" i="4"/>
  <c r="T49" i="4"/>
  <c r="T52" i="4"/>
  <c r="T48" i="4"/>
  <c r="T55" i="4"/>
  <c r="T51" i="4"/>
  <c r="T47" i="4"/>
  <c r="T54" i="4"/>
  <c r="U44" i="4"/>
  <c r="U40" i="4"/>
  <c r="U46" i="4"/>
  <c r="U38" i="4"/>
  <c r="U43" i="4"/>
  <c r="U39" i="4"/>
  <c r="U42" i="4"/>
  <c r="U45" i="4"/>
  <c r="T44" i="4"/>
  <c r="T40" i="4"/>
  <c r="T46" i="4"/>
  <c r="T38" i="4"/>
  <c r="T43" i="4"/>
  <c r="T39" i="4"/>
  <c r="T42" i="4"/>
  <c r="T45" i="4"/>
  <c r="U35" i="4"/>
  <c r="U31" i="4"/>
  <c r="U33" i="4"/>
  <c r="U29" i="4"/>
  <c r="U34" i="4"/>
  <c r="U30" i="4"/>
  <c r="U37" i="4"/>
  <c r="U36" i="4"/>
  <c r="T35" i="4"/>
  <c r="T31" i="4"/>
  <c r="T29" i="4"/>
  <c r="T34" i="4"/>
  <c r="T30" i="4"/>
  <c r="T37" i="4"/>
  <c r="T33" i="4"/>
  <c r="T36" i="4"/>
  <c r="U17" i="4"/>
  <c r="U13" i="4"/>
  <c r="U19" i="4"/>
  <c r="U15" i="4"/>
  <c r="U11" i="4"/>
  <c r="U18" i="4"/>
  <c r="U14" i="4"/>
  <c r="U16" i="4"/>
  <c r="T18" i="4"/>
  <c r="T14" i="4"/>
  <c r="T17" i="4"/>
  <c r="T13" i="4"/>
  <c r="T16" i="4"/>
  <c r="T12" i="4"/>
  <c r="T19" i="4"/>
  <c r="T15" i="4"/>
  <c r="J8" i="17"/>
  <c r="J4" i="17"/>
  <c r="J7" i="17"/>
  <c r="J3" i="17"/>
  <c r="J10" i="17"/>
  <c r="J6" i="17"/>
  <c r="J2" i="17"/>
  <c r="J9" i="17"/>
  <c r="H36" i="17"/>
  <c r="H30" i="17"/>
  <c r="H98" i="17"/>
  <c r="H94" i="17"/>
  <c r="H96" i="17"/>
  <c r="H97" i="17"/>
  <c r="H93" i="17"/>
  <c r="H100" i="17"/>
  <c r="H92" i="17"/>
  <c r="H99" i="17"/>
  <c r="G98" i="17"/>
  <c r="G94" i="17"/>
  <c r="G92" i="17"/>
  <c r="G97" i="17"/>
  <c r="G93" i="17"/>
  <c r="G100" i="17"/>
  <c r="G96" i="17"/>
  <c r="G99" i="17"/>
  <c r="H80" i="17"/>
  <c r="H76" i="17"/>
  <c r="H79" i="17"/>
  <c r="H75" i="17"/>
  <c r="H82" i="17"/>
  <c r="H78" i="17"/>
  <c r="H74" i="17"/>
  <c r="H81" i="17"/>
  <c r="G80" i="17"/>
  <c r="G76" i="17"/>
  <c r="G82" i="17"/>
  <c r="G78" i="17"/>
  <c r="G74" i="17"/>
  <c r="G81" i="17"/>
  <c r="G77" i="17"/>
  <c r="G79" i="17"/>
  <c r="H71" i="17"/>
  <c r="H67" i="17"/>
  <c r="H70" i="17"/>
  <c r="H66" i="17"/>
  <c r="H73" i="17"/>
  <c r="H69" i="17"/>
  <c r="H65" i="17"/>
  <c r="H72" i="17"/>
  <c r="G71" i="17"/>
  <c r="G67" i="17"/>
  <c r="G70" i="17"/>
  <c r="G66" i="17"/>
  <c r="G73" i="17"/>
  <c r="G69" i="17"/>
  <c r="G65" i="17"/>
  <c r="G72" i="17"/>
  <c r="H62" i="17"/>
  <c r="H58" i="17"/>
  <c r="H61" i="17"/>
  <c r="H57" i="17"/>
  <c r="H64" i="17"/>
  <c r="H60" i="17"/>
  <c r="H56" i="17"/>
  <c r="H63" i="17"/>
  <c r="G62" i="17"/>
  <c r="G58" i="17"/>
  <c r="G61" i="17"/>
  <c r="G57" i="17"/>
  <c r="G64" i="17"/>
  <c r="G60" i="17"/>
  <c r="G56" i="17"/>
  <c r="G63" i="17"/>
  <c r="H53" i="17"/>
  <c r="H49" i="17"/>
  <c r="H52" i="17"/>
  <c r="H48" i="17"/>
  <c r="H55" i="17"/>
  <c r="H51" i="17"/>
  <c r="H47" i="17"/>
  <c r="H54" i="17"/>
  <c r="G52" i="17"/>
  <c r="G48" i="17"/>
  <c r="G55" i="17"/>
  <c r="G51" i="17"/>
  <c r="G47" i="17"/>
  <c r="G54" i="17"/>
  <c r="G50" i="17"/>
  <c r="G53" i="17"/>
  <c r="H45" i="17"/>
  <c r="H41" i="17"/>
  <c r="H44" i="17"/>
  <c r="H40" i="17"/>
  <c r="H43" i="17"/>
  <c r="H39" i="17"/>
  <c r="H46" i="17"/>
  <c r="H42" i="17"/>
  <c r="G44" i="17"/>
  <c r="G40" i="17"/>
  <c r="G43" i="17"/>
  <c r="G39" i="17"/>
  <c r="G46" i="17"/>
  <c r="G42" i="17"/>
  <c r="G38" i="17"/>
  <c r="G45" i="17"/>
  <c r="H35" i="17"/>
  <c r="G35" i="17"/>
  <c r="G31" i="17"/>
  <c r="G34" i="17"/>
  <c r="G30" i="17"/>
  <c r="G37" i="17"/>
  <c r="G33" i="17"/>
  <c r="G29" i="17"/>
  <c r="G36" i="17"/>
  <c r="H16" i="17"/>
  <c r="H12" i="17"/>
  <c r="H18" i="17"/>
  <c r="H14" i="17"/>
  <c r="H17" i="17"/>
  <c r="H13" i="17"/>
  <c r="H19" i="17"/>
  <c r="H15" i="17"/>
  <c r="G17" i="17"/>
  <c r="G13" i="17"/>
  <c r="G16" i="17"/>
  <c r="G12" i="17"/>
  <c r="G19" i="17"/>
  <c r="G15" i="17"/>
  <c r="G11" i="17"/>
  <c r="G18" i="17"/>
  <c r="S8" i="1" a="1"/>
  <c r="S8" i="1"/>
  <c r="S6" i="1" a="1"/>
  <c r="S6" i="1"/>
  <c r="E92" i="17" a="1"/>
  <c r="E95" i="17"/>
  <c r="D92" i="17" a="1"/>
  <c r="D92" i="17"/>
  <c r="E83" i="17" a="1"/>
  <c r="E86" i="17"/>
  <c r="D83" i="17" a="1"/>
  <c r="D86" i="17"/>
  <c r="E74" i="17" a="1"/>
  <c r="E77" i="17"/>
  <c r="D74" i="17" a="1"/>
  <c r="D75" i="17"/>
  <c r="E65" i="17" a="1"/>
  <c r="E68" i="17"/>
  <c r="D65" i="17" a="1"/>
  <c r="D68" i="17"/>
  <c r="E56" i="17" a="1"/>
  <c r="E59" i="17"/>
  <c r="D56" i="17" a="1"/>
  <c r="D56" i="17"/>
  <c r="D47" i="17" a="1"/>
  <c r="D48" i="17"/>
  <c r="E47" i="17" a="1"/>
  <c r="E48" i="17"/>
  <c r="D38" i="17" a="1"/>
  <c r="D41" i="17"/>
  <c r="E38" i="17" a="1"/>
  <c r="E41" i="17"/>
  <c r="E29" i="17" a="1"/>
  <c r="E32" i="17"/>
  <c r="D29" i="17" a="1"/>
  <c r="D32" i="17"/>
  <c r="E20" i="17" a="1"/>
  <c r="E23" i="17"/>
  <c r="D20" i="17" a="1"/>
  <c r="D20" i="17"/>
  <c r="E11" i="17" a="1"/>
  <c r="E14" i="17"/>
  <c r="D11" i="17" a="1"/>
  <c r="D11" i="17"/>
  <c r="E2" i="17" a="1"/>
  <c r="E5" i="17"/>
  <c r="D2" i="17" a="1"/>
  <c r="D5" i="17"/>
  <c r="B92" i="17" a="1"/>
  <c r="B95" i="17"/>
  <c r="A92" i="17" a="1"/>
  <c r="A95" i="17"/>
  <c r="B83" i="17" a="1"/>
  <c r="B86" i="17"/>
  <c r="A83" i="17" a="1"/>
  <c r="A84" i="17"/>
  <c r="B74" i="17" a="1"/>
  <c r="B77" i="17"/>
  <c r="A74" i="17" a="1"/>
  <c r="A75" i="17"/>
  <c r="B65" i="17" a="1"/>
  <c r="B68" i="17"/>
  <c r="A65" i="17" a="1"/>
  <c r="A68" i="17"/>
  <c r="B56" i="17" a="1"/>
  <c r="B59" i="17"/>
  <c r="A56" i="17" a="1"/>
  <c r="A59" i="17"/>
  <c r="B47" i="17" a="1"/>
  <c r="B48" i="17"/>
  <c r="A47" i="17" a="1"/>
  <c r="A50" i="17"/>
  <c r="B38" i="17" a="1"/>
  <c r="B41" i="17"/>
  <c r="A38" i="17" a="1"/>
  <c r="A41" i="17"/>
  <c r="B29" i="17" a="1"/>
  <c r="B32" i="17"/>
  <c r="A29" i="17" a="1"/>
  <c r="A32" i="17"/>
  <c r="B20" i="17" a="1"/>
  <c r="B23" i="17"/>
  <c r="A20" i="17" a="1"/>
  <c r="A23" i="17"/>
  <c r="B11" i="17" a="1"/>
  <c r="B14" i="17"/>
  <c r="A11" i="17" a="1"/>
  <c r="A14" i="17"/>
  <c r="B2" i="17" a="1"/>
  <c r="B5" i="17"/>
  <c r="A2" i="17" a="1"/>
  <c r="A5" i="17"/>
  <c r="E98" i="17"/>
  <c r="E94" i="17"/>
  <c r="E96" i="17"/>
  <c r="E97" i="17"/>
  <c r="E93" i="17"/>
  <c r="E100" i="17"/>
  <c r="E92" i="17"/>
  <c r="E99" i="17"/>
  <c r="D98" i="17"/>
  <c r="D94" i="17"/>
  <c r="D99" i="17"/>
  <c r="D97" i="17"/>
  <c r="D93" i="17"/>
  <c r="D95" i="17"/>
  <c r="D100" i="17"/>
  <c r="D96" i="17"/>
  <c r="E89" i="17"/>
  <c r="E85" i="17"/>
  <c r="E88" i="17"/>
  <c r="E84" i="17"/>
  <c r="E91" i="17"/>
  <c r="E87" i="17"/>
  <c r="E83" i="17"/>
  <c r="E90" i="17"/>
  <c r="D89" i="17"/>
  <c r="D85" i="17"/>
  <c r="D88" i="17"/>
  <c r="D84" i="17"/>
  <c r="D91" i="17"/>
  <c r="D87" i="17"/>
  <c r="D83" i="17"/>
  <c r="D90" i="17"/>
  <c r="E80" i="17"/>
  <c r="E76" i="17"/>
  <c r="E74" i="17"/>
  <c r="E79" i="17"/>
  <c r="E75" i="17"/>
  <c r="E82" i="17"/>
  <c r="E78" i="17"/>
  <c r="E81" i="17"/>
  <c r="D80" i="17"/>
  <c r="D76" i="17"/>
  <c r="D82" i="17"/>
  <c r="D78" i="17"/>
  <c r="D74" i="17"/>
  <c r="D81" i="17"/>
  <c r="D77" i="17"/>
  <c r="D79" i="17"/>
  <c r="E71" i="17"/>
  <c r="E67" i="17"/>
  <c r="E73" i="17"/>
  <c r="E65" i="17"/>
  <c r="E70" i="17"/>
  <c r="E66" i="17"/>
  <c r="E69" i="17"/>
  <c r="E72" i="17"/>
  <c r="D71" i="17"/>
  <c r="D67" i="17"/>
  <c r="D70" i="17"/>
  <c r="D66" i="17"/>
  <c r="D73" i="17"/>
  <c r="D69" i="17"/>
  <c r="D65" i="17"/>
  <c r="D72" i="17"/>
  <c r="E62" i="17"/>
  <c r="E58" i="17"/>
  <c r="E64" i="17"/>
  <c r="E60" i="17"/>
  <c r="E56" i="17"/>
  <c r="E61" i="17"/>
  <c r="E57" i="17"/>
  <c r="E63" i="17"/>
  <c r="D63" i="17"/>
  <c r="D59" i="17"/>
  <c r="D62" i="17"/>
  <c r="D58" i="17"/>
  <c r="D61" i="17"/>
  <c r="D57" i="17"/>
  <c r="D64" i="17"/>
  <c r="D60" i="17"/>
  <c r="D53" i="17"/>
  <c r="D49" i="17"/>
  <c r="D55" i="17"/>
  <c r="D51" i="17"/>
  <c r="D47" i="17"/>
  <c r="D54" i="17"/>
  <c r="D50" i="17"/>
  <c r="D52" i="17"/>
  <c r="E51" i="17"/>
  <c r="E50" i="17"/>
  <c r="E53" i="17"/>
  <c r="E49" i="17"/>
  <c r="E55" i="17"/>
  <c r="E47" i="17"/>
  <c r="E54" i="17"/>
  <c r="E52" i="17"/>
  <c r="D44" i="17"/>
  <c r="D40" i="17"/>
  <c r="D43" i="17"/>
  <c r="D39" i="17"/>
  <c r="D46" i="17"/>
  <c r="D42" i="17"/>
  <c r="D38" i="17"/>
  <c r="D45" i="17"/>
  <c r="E44" i="17"/>
  <c r="E40" i="17"/>
  <c r="E43" i="17"/>
  <c r="E39" i="17"/>
  <c r="E46" i="17"/>
  <c r="E42" i="17"/>
  <c r="E38" i="17"/>
  <c r="E45" i="17"/>
  <c r="E35" i="17"/>
  <c r="E31" i="17"/>
  <c r="E37" i="17"/>
  <c r="E29" i="17"/>
  <c r="E34" i="17"/>
  <c r="E30" i="17"/>
  <c r="E33" i="17"/>
  <c r="E36" i="17"/>
  <c r="D35" i="17"/>
  <c r="D31" i="17"/>
  <c r="D34" i="17"/>
  <c r="D30" i="17"/>
  <c r="D37" i="17"/>
  <c r="D33" i="17"/>
  <c r="D29" i="17"/>
  <c r="D36" i="17"/>
  <c r="E26" i="17"/>
  <c r="E22" i="17"/>
  <c r="E25" i="17"/>
  <c r="E21" i="17"/>
  <c r="E28" i="17"/>
  <c r="E24" i="17"/>
  <c r="E20" i="17"/>
  <c r="E27" i="17"/>
  <c r="D26" i="17"/>
  <c r="D22" i="17"/>
  <c r="D27" i="17"/>
  <c r="D23" i="17"/>
  <c r="D25" i="17"/>
  <c r="D21" i="17"/>
  <c r="D28" i="17"/>
  <c r="D24" i="17"/>
  <c r="E17" i="17"/>
  <c r="E13" i="17"/>
  <c r="E16" i="17"/>
  <c r="E12" i="17"/>
  <c r="E19" i="17"/>
  <c r="E15" i="17"/>
  <c r="E11" i="17"/>
  <c r="E18" i="17"/>
  <c r="D14" i="17"/>
  <c r="D17" i="17"/>
  <c r="D13" i="17"/>
  <c r="D18" i="17"/>
  <c r="D16" i="17"/>
  <c r="D12" i="17"/>
  <c r="D19" i="17"/>
  <c r="D15" i="17"/>
  <c r="E8" i="17"/>
  <c r="E4" i="17"/>
  <c r="E7" i="17"/>
  <c r="E3" i="17"/>
  <c r="E10" i="17"/>
  <c r="E6" i="17"/>
  <c r="E2" i="17"/>
  <c r="E9" i="17"/>
  <c r="D8" i="17"/>
  <c r="D4" i="17"/>
  <c r="D6" i="17"/>
  <c r="D7" i="17"/>
  <c r="D3" i="17"/>
  <c r="D10" i="17"/>
  <c r="D2" i="17"/>
  <c r="D9" i="17"/>
  <c r="B98" i="17"/>
  <c r="B94" i="17"/>
  <c r="B96" i="17"/>
  <c r="B97" i="17"/>
  <c r="B93" i="17"/>
  <c r="B100" i="17"/>
  <c r="B92" i="17"/>
  <c r="B99" i="17"/>
  <c r="A98" i="17"/>
  <c r="A94" i="17"/>
  <c r="A97" i="17"/>
  <c r="A93" i="17"/>
  <c r="A100" i="17"/>
  <c r="A96" i="17"/>
  <c r="A92" i="17"/>
  <c r="A99" i="17"/>
  <c r="B89" i="17"/>
  <c r="B85" i="17"/>
  <c r="B88" i="17"/>
  <c r="B84" i="17"/>
  <c r="B91" i="17"/>
  <c r="B87" i="17"/>
  <c r="B83" i="17"/>
  <c r="B90" i="17"/>
  <c r="A89" i="17"/>
  <c r="A85" i="17"/>
  <c r="A91" i="17"/>
  <c r="A87" i="17"/>
  <c r="A83" i="17"/>
  <c r="A90" i="17"/>
  <c r="A86" i="17"/>
  <c r="A88" i="17"/>
  <c r="B80" i="17"/>
  <c r="B76" i="17"/>
  <c r="B74" i="17"/>
  <c r="B79" i="17"/>
  <c r="B75" i="17"/>
  <c r="B82" i="17"/>
  <c r="B78" i="17"/>
  <c r="B81" i="17"/>
  <c r="A80" i="17"/>
  <c r="A76" i="17"/>
  <c r="A82" i="17"/>
  <c r="A78" i="17"/>
  <c r="A74" i="17"/>
  <c r="A81" i="17"/>
  <c r="A77" i="17"/>
  <c r="A79" i="17"/>
  <c r="B71" i="17"/>
  <c r="B67" i="17"/>
  <c r="B69" i="17"/>
  <c r="B70" i="17"/>
  <c r="B66" i="17"/>
  <c r="B73" i="17"/>
  <c r="B65" i="17"/>
  <c r="B72" i="17"/>
  <c r="A71" i="17"/>
  <c r="A67" i="17"/>
  <c r="A70" i="17"/>
  <c r="A66" i="17"/>
  <c r="A73" i="17"/>
  <c r="A69" i="17"/>
  <c r="A65" i="17"/>
  <c r="A72" i="17"/>
  <c r="B62" i="17"/>
  <c r="B58" i="17"/>
  <c r="B60" i="17"/>
  <c r="B61" i="17"/>
  <c r="B57" i="17"/>
  <c r="B64" i="17"/>
  <c r="B56" i="17"/>
  <c r="B63" i="17"/>
  <c r="A62" i="17"/>
  <c r="A58" i="17"/>
  <c r="A61" i="17"/>
  <c r="A57" i="17"/>
  <c r="A64" i="17"/>
  <c r="A60" i="17"/>
  <c r="A56" i="17"/>
  <c r="A63" i="17"/>
  <c r="B53" i="17"/>
  <c r="B49" i="17"/>
  <c r="B55" i="17"/>
  <c r="B51" i="17"/>
  <c r="B47" i="17"/>
  <c r="B54" i="17"/>
  <c r="B50" i="17"/>
  <c r="B52" i="17"/>
  <c r="A53" i="17"/>
  <c r="A49" i="17"/>
  <c r="A52" i="17"/>
  <c r="A48" i="17"/>
  <c r="A55" i="17"/>
  <c r="A51" i="17"/>
  <c r="A47" i="17"/>
  <c r="A54" i="17"/>
  <c r="B44" i="17"/>
  <c r="B40" i="17"/>
  <c r="B43" i="17"/>
  <c r="B39" i="17"/>
  <c r="B46" i="17"/>
  <c r="B42" i="17"/>
  <c r="B38" i="17"/>
  <c r="B45" i="17"/>
  <c r="A44" i="17"/>
  <c r="A40" i="17"/>
  <c r="A43" i="17"/>
  <c r="A39" i="17"/>
  <c r="A46" i="17"/>
  <c r="A42" i="17"/>
  <c r="A38" i="17"/>
  <c r="A45" i="17"/>
  <c r="B35" i="17"/>
  <c r="B31" i="17"/>
  <c r="B34" i="17"/>
  <c r="B30" i="17"/>
  <c r="B37" i="17"/>
  <c r="B33" i="17"/>
  <c r="B29" i="17"/>
  <c r="B36" i="17"/>
  <c r="A35" i="17"/>
  <c r="A31" i="17"/>
  <c r="A34" i="17"/>
  <c r="A30" i="17"/>
  <c r="A37" i="17"/>
  <c r="A33" i="17"/>
  <c r="A29" i="17"/>
  <c r="A36" i="17"/>
  <c r="B26" i="17"/>
  <c r="B22" i="17"/>
  <c r="B25" i="17"/>
  <c r="B21" i="17"/>
  <c r="B28" i="17"/>
  <c r="B24" i="17"/>
  <c r="B20" i="17"/>
  <c r="B27" i="17"/>
  <c r="A26" i="17"/>
  <c r="A22" i="17"/>
  <c r="A25" i="17"/>
  <c r="A21" i="17"/>
  <c r="A28" i="17"/>
  <c r="A24" i="17"/>
  <c r="A20" i="17"/>
  <c r="A27" i="17"/>
  <c r="B17" i="17"/>
  <c r="B13" i="17"/>
  <c r="B16" i="17"/>
  <c r="B12" i="17"/>
  <c r="B19" i="17"/>
  <c r="B15" i="17"/>
  <c r="B11" i="17"/>
  <c r="B18" i="17"/>
  <c r="A17" i="17"/>
  <c r="A13" i="17"/>
  <c r="A16" i="17"/>
  <c r="A12" i="17"/>
  <c r="A19" i="17"/>
  <c r="A15" i="17"/>
  <c r="A11" i="17"/>
  <c r="A18" i="17"/>
  <c r="B8" i="17"/>
  <c r="B4" i="17"/>
  <c r="B7" i="17"/>
  <c r="B3" i="17"/>
  <c r="B10" i="17"/>
  <c r="B6" i="17"/>
  <c r="B2" i="17"/>
  <c r="B9" i="17"/>
  <c r="A8" i="17"/>
  <c r="A4" i="17"/>
  <c r="A7" i="17"/>
  <c r="A3" i="17"/>
  <c r="A10" i="17"/>
  <c r="A6" i="17"/>
  <c r="A2" i="17"/>
  <c r="A9" i="17"/>
  <c r="D19" i="1"/>
  <c r="D20" i="1"/>
  <c r="D21" i="1"/>
  <c r="D22" i="1"/>
  <c r="M2" i="17" a="1"/>
  <c r="D23" i="1"/>
  <c r="D24" i="1"/>
  <c r="D25" i="1"/>
  <c r="D26" i="1"/>
  <c r="D27" i="1"/>
  <c r="M2" i="17"/>
  <c r="M6" i="17"/>
  <c r="M4" i="17"/>
  <c r="M9" i="17"/>
  <c r="M5" i="17"/>
  <c r="M10" i="17"/>
  <c r="M7" i="17"/>
  <c r="M8" i="17"/>
  <c r="M3" i="17"/>
  <c r="T2" i="4" a="1"/>
  <c r="U2" i="4" a="1"/>
  <c r="H5" i="17"/>
  <c r="H7" i="17"/>
  <c r="H2" i="17"/>
  <c r="G7" i="17"/>
  <c r="G2" i="17"/>
  <c r="H8" i="17"/>
  <c r="G5" i="17"/>
  <c r="H3" i="17"/>
  <c r="H9" i="17"/>
  <c r="G3" i="17"/>
  <c r="G9" i="17"/>
  <c r="G8" i="17"/>
  <c r="G10" i="17"/>
  <c r="H4" i="17"/>
  <c r="H6" i="17"/>
  <c r="G4" i="17"/>
  <c r="G6" i="17"/>
  <c r="H10" i="17"/>
  <c r="R103" i="1" a="1"/>
  <c r="R103" i="1"/>
  <c r="T44" i="1" a="1"/>
  <c r="U5" i="4"/>
  <c r="U7" i="4"/>
  <c r="U9" i="4"/>
  <c r="U8" i="4"/>
  <c r="U3" i="4"/>
  <c r="U4" i="4"/>
  <c r="U10" i="4"/>
  <c r="U2" i="4"/>
  <c r="U6" i="4"/>
  <c r="T4" i="4"/>
  <c r="T6" i="4"/>
  <c r="T8" i="4"/>
  <c r="T7" i="4"/>
  <c r="T2" i="4"/>
  <c r="T3" i="4"/>
  <c r="T9" i="4"/>
  <c r="T10" i="4"/>
  <c r="T5" i="4"/>
  <c r="R121" i="1"/>
  <c r="R115" i="1"/>
  <c r="R108" i="1"/>
  <c r="R120" i="1"/>
  <c r="R114" i="1"/>
  <c r="R110" i="1"/>
  <c r="R122" i="1"/>
  <c r="R113" i="1"/>
  <c r="R107" i="1"/>
  <c r="R119" i="1"/>
  <c r="R105" i="1"/>
  <c r="R117" i="1"/>
  <c r="R111" i="1"/>
  <c r="R104" i="1"/>
  <c r="R116" i="1"/>
  <c r="R112" i="1"/>
  <c r="R106" i="1"/>
  <c r="R118" i="1"/>
  <c r="R109" i="1"/>
  <c r="T46" i="1"/>
  <c r="T45" i="1"/>
  <c r="T50" i="1"/>
  <c r="T48" i="1"/>
  <c r="T44" i="1"/>
  <c r="T49" i="1"/>
  <c r="T47" i="1"/>
  <c r="D184" i="1"/>
  <c r="D185" i="1"/>
  <c r="D186" i="1"/>
  <c r="D187" i="1"/>
  <c r="D188" i="1"/>
  <c r="D189" i="1"/>
  <c r="D190" i="1"/>
  <c r="D191" i="1"/>
  <c r="D183" i="1"/>
  <c r="D169" i="1"/>
  <c r="D170" i="1"/>
  <c r="D171" i="1"/>
  <c r="D172" i="1"/>
  <c r="D173" i="1"/>
  <c r="D174" i="1"/>
  <c r="D175" i="1"/>
  <c r="D176" i="1"/>
  <c r="D168" i="1"/>
  <c r="D155" i="1"/>
  <c r="D156" i="1"/>
  <c r="D157" i="1"/>
  <c r="D158" i="1"/>
  <c r="D159" i="1"/>
  <c r="D160" i="1"/>
  <c r="D161" i="1"/>
  <c r="D162" i="1"/>
  <c r="D154" i="1"/>
  <c r="D133" i="1"/>
  <c r="D134" i="1"/>
  <c r="D135" i="1"/>
  <c r="D136" i="1"/>
  <c r="D137" i="1"/>
  <c r="D138" i="1"/>
  <c r="D139" i="1"/>
  <c r="D140" i="1"/>
  <c r="D132" i="1"/>
  <c r="D119" i="1"/>
  <c r="D120" i="1"/>
  <c r="D121" i="1"/>
  <c r="D122" i="1"/>
  <c r="D123" i="1"/>
  <c r="D124" i="1"/>
  <c r="D125" i="1"/>
  <c r="D126" i="1"/>
  <c r="D118" i="1"/>
  <c r="D105" i="1"/>
  <c r="D106" i="1"/>
  <c r="D107" i="1"/>
  <c r="D108" i="1"/>
  <c r="D109" i="1"/>
  <c r="D110" i="1"/>
  <c r="D111" i="1"/>
  <c r="D112" i="1"/>
  <c r="D104" i="1"/>
  <c r="D83" i="1"/>
  <c r="J38" i="17" a="1"/>
  <c r="J38" i="17"/>
  <c r="D84" i="1"/>
  <c r="D85" i="1"/>
  <c r="D86" i="1"/>
  <c r="D87" i="1"/>
  <c r="D88" i="1"/>
  <c r="D89" i="1"/>
  <c r="D90" i="1"/>
  <c r="D82" i="1"/>
  <c r="D70" i="1"/>
  <c r="D71" i="1"/>
  <c r="D72" i="1"/>
  <c r="D73" i="1"/>
  <c r="D74" i="1"/>
  <c r="D75" i="1"/>
  <c r="D76" i="1"/>
  <c r="D68" i="1"/>
  <c r="D62" i="1"/>
  <c r="D55" i="1"/>
  <c r="D56" i="1"/>
  <c r="D57" i="1"/>
  <c r="D58" i="1"/>
  <c r="D59" i="1"/>
  <c r="D60" i="1"/>
  <c r="D61" i="1"/>
  <c r="D54" i="1"/>
  <c r="D42" i="1"/>
  <c r="K92" i="17" a="1"/>
  <c r="K92" i="17"/>
  <c r="K83" i="17" a="1"/>
  <c r="K83" i="17"/>
  <c r="K74" i="17" a="1"/>
  <c r="K76" i="17"/>
  <c r="K65" i="17" a="1"/>
  <c r="K65" i="17"/>
  <c r="K56" i="17" a="1"/>
  <c r="K56" i="17"/>
  <c r="K47" i="17" a="1"/>
  <c r="K47" i="17"/>
  <c r="K38" i="17" a="1"/>
  <c r="K38" i="17"/>
  <c r="K29" i="17" a="1"/>
  <c r="K29" i="17"/>
  <c r="K20" i="17" a="1"/>
  <c r="K21" i="17"/>
  <c r="K11" i="17" a="1"/>
  <c r="K11" i="17"/>
  <c r="K2" i="17" a="1"/>
  <c r="K2" i="17"/>
  <c r="Q92" i="17" a="1"/>
  <c r="Q92" i="17"/>
  <c r="Q83" i="17" a="1"/>
  <c r="Q84" i="17"/>
  <c r="Q74" i="17" a="1"/>
  <c r="Q74" i="17"/>
  <c r="Q65" i="17" a="1"/>
  <c r="Q65" i="17"/>
  <c r="Q56" i="17" a="1"/>
  <c r="Q56" i="17"/>
  <c r="Q47" i="17" a="1"/>
  <c r="Q47" i="17"/>
  <c r="Q38" i="17" a="1"/>
  <c r="Q38" i="17"/>
  <c r="Q29" i="17" a="1"/>
  <c r="Q30" i="17"/>
  <c r="Q20" i="17" a="1"/>
  <c r="Q20" i="17"/>
  <c r="Q11" i="17" a="1"/>
  <c r="Q11" i="17"/>
  <c r="Q2" i="17" a="1"/>
  <c r="Q2" i="17"/>
  <c r="P92" i="17" a="1"/>
  <c r="P92" i="17"/>
  <c r="P83" i="17" a="1"/>
  <c r="P83" i="17"/>
  <c r="P74" i="17" a="1"/>
  <c r="P76" i="17"/>
  <c r="P65" i="17" a="1"/>
  <c r="P65" i="17"/>
  <c r="P56" i="17" a="1"/>
  <c r="P56" i="17"/>
  <c r="P47" i="17" a="1"/>
  <c r="P47" i="17"/>
  <c r="P38" i="17" a="1"/>
  <c r="P39" i="17"/>
  <c r="P29" i="17" a="1"/>
  <c r="P31" i="17"/>
  <c r="P20" i="17" a="1"/>
  <c r="P20" i="17"/>
  <c r="J92" i="17" a="1"/>
  <c r="J92" i="17"/>
  <c r="J83" i="17" a="1"/>
  <c r="J83" i="17"/>
  <c r="J74" i="17" a="1"/>
  <c r="J76" i="17"/>
  <c r="J65" i="17" a="1"/>
  <c r="J65" i="17"/>
  <c r="J56" i="17" a="1"/>
  <c r="J57" i="17"/>
  <c r="J47" i="17" a="1"/>
  <c r="J47" i="17"/>
  <c r="U20" i="4" a="1"/>
  <c r="T20" i="4" a="1"/>
  <c r="H22" i="17"/>
  <c r="H24" i="17"/>
  <c r="G22" i="17"/>
  <c r="G27" i="17"/>
  <c r="H27" i="17"/>
  <c r="G25" i="17"/>
  <c r="H26" i="17"/>
  <c r="G26" i="17"/>
  <c r="G21" i="17"/>
  <c r="H25" i="17"/>
  <c r="H20" i="17"/>
  <c r="G28" i="17"/>
  <c r="G23" i="17"/>
  <c r="H23" i="17"/>
  <c r="H21" i="17"/>
  <c r="G24" i="17"/>
  <c r="G71" i="4"/>
  <c r="H28" i="17"/>
  <c r="G20" i="17"/>
  <c r="J20" i="17" a="1"/>
  <c r="J20" i="17"/>
  <c r="K27" i="17"/>
  <c r="K23" i="17"/>
  <c r="K28" i="17"/>
  <c r="K24" i="17"/>
  <c r="K20" i="17"/>
  <c r="K26" i="17"/>
  <c r="K22" i="17"/>
  <c r="K25" i="17"/>
  <c r="K97" i="17"/>
  <c r="K93" i="17"/>
  <c r="K99" i="17"/>
  <c r="K95" i="17"/>
  <c r="K98" i="17"/>
  <c r="K94" i="17"/>
  <c r="K100" i="17"/>
  <c r="K96" i="17"/>
  <c r="K88" i="17"/>
  <c r="K84" i="17"/>
  <c r="K90" i="17"/>
  <c r="K86" i="17"/>
  <c r="K89" i="17"/>
  <c r="K85" i="17"/>
  <c r="K91" i="17"/>
  <c r="K87" i="17"/>
  <c r="K79" i="17"/>
  <c r="K75" i="17"/>
  <c r="K82" i="17"/>
  <c r="K78" i="17"/>
  <c r="K74" i="17"/>
  <c r="K81" i="17"/>
  <c r="K77" i="17"/>
  <c r="K80" i="17"/>
  <c r="K70" i="17"/>
  <c r="K66" i="17"/>
  <c r="K72" i="17"/>
  <c r="K68" i="17"/>
  <c r="K71" i="17"/>
  <c r="K67" i="17"/>
  <c r="K73" i="17"/>
  <c r="K69" i="17"/>
  <c r="K61" i="17"/>
  <c r="K57" i="17"/>
  <c r="K63" i="17"/>
  <c r="K59" i="17"/>
  <c r="K62" i="17"/>
  <c r="K58" i="17"/>
  <c r="K64" i="17"/>
  <c r="K60" i="17"/>
  <c r="K52" i="17"/>
  <c r="K48" i="17"/>
  <c r="K54" i="17"/>
  <c r="K50" i="17"/>
  <c r="K53" i="17"/>
  <c r="K49" i="17"/>
  <c r="K55" i="17"/>
  <c r="K51" i="17"/>
  <c r="K43" i="17"/>
  <c r="K39" i="17"/>
  <c r="K45" i="17"/>
  <c r="K41" i="17"/>
  <c r="K44" i="17"/>
  <c r="K40" i="17"/>
  <c r="K46" i="17"/>
  <c r="K42" i="17"/>
  <c r="K34" i="17"/>
  <c r="K30" i="17"/>
  <c r="K36" i="17"/>
  <c r="K32" i="17"/>
  <c r="K35" i="17"/>
  <c r="K31" i="17"/>
  <c r="K37" i="17"/>
  <c r="K33" i="17"/>
  <c r="K18" i="17"/>
  <c r="K13" i="17"/>
  <c r="K16" i="17"/>
  <c r="K12" i="17"/>
  <c r="K14" i="17"/>
  <c r="K17" i="17"/>
  <c r="K19" i="17"/>
  <c r="K15" i="17"/>
  <c r="K7" i="17"/>
  <c r="K3" i="17"/>
  <c r="K9" i="17"/>
  <c r="K5" i="17"/>
  <c r="K8" i="17"/>
  <c r="K4" i="17"/>
  <c r="K10" i="17"/>
  <c r="K6" i="17"/>
  <c r="J45" i="17"/>
  <c r="J40" i="17"/>
  <c r="J43" i="17"/>
  <c r="J39" i="17"/>
  <c r="J41" i="17"/>
  <c r="J44" i="17"/>
  <c r="J46" i="17"/>
  <c r="J42" i="17"/>
  <c r="Q99" i="17"/>
  <c r="Q95" i="17"/>
  <c r="Q98" i="17"/>
  <c r="Q94" i="17"/>
  <c r="Q97" i="17"/>
  <c r="Q93" i="17"/>
  <c r="Q100" i="17"/>
  <c r="Q96" i="17"/>
  <c r="Q91" i="17"/>
  <c r="Q87" i="17"/>
  <c r="Q83" i="17"/>
  <c r="Q90" i="17"/>
  <c r="Q86" i="17"/>
  <c r="Q89" i="17"/>
  <c r="Q85" i="17"/>
  <c r="Q88" i="17"/>
  <c r="Q81" i="17"/>
  <c r="Q77" i="17"/>
  <c r="Q80" i="17"/>
  <c r="Q76" i="17"/>
  <c r="Q79" i="17"/>
  <c r="Q75" i="17"/>
  <c r="Q82" i="17"/>
  <c r="Q78" i="17"/>
  <c r="Q72" i="17"/>
  <c r="Q68" i="17"/>
  <c r="Q71" i="17"/>
  <c r="Q67" i="17"/>
  <c r="Q70" i="17"/>
  <c r="Q66" i="17"/>
  <c r="Q73" i="17"/>
  <c r="Q69" i="17"/>
  <c r="Q63" i="17"/>
  <c r="Q59" i="17"/>
  <c r="Q62" i="17"/>
  <c r="Q58" i="17"/>
  <c r="Q61" i="17"/>
  <c r="Q57" i="17"/>
  <c r="Q64" i="17"/>
  <c r="Q60" i="17"/>
  <c r="Q54" i="17"/>
  <c r="Q50" i="17"/>
  <c r="Q53" i="17"/>
  <c r="Q52" i="17"/>
  <c r="Q48" i="17"/>
  <c r="Q49" i="17"/>
  <c r="Q55" i="17"/>
  <c r="Q51" i="17"/>
  <c r="Q41" i="17"/>
  <c r="Q44" i="17"/>
  <c r="Q40" i="17"/>
  <c r="Q43" i="17"/>
  <c r="Q39" i="17"/>
  <c r="Q45" i="17"/>
  <c r="Q46" i="17"/>
  <c r="Q42" i="17"/>
  <c r="Q33" i="17"/>
  <c r="Q32" i="17"/>
  <c r="Q35" i="17"/>
  <c r="Q31" i="17"/>
  <c r="Q37" i="17"/>
  <c r="Q29" i="17"/>
  <c r="Q36" i="17"/>
  <c r="Q34" i="17"/>
  <c r="Q25" i="17"/>
  <c r="Q21" i="17"/>
  <c r="Q27" i="17"/>
  <c r="Q23" i="17"/>
  <c r="Q26" i="17"/>
  <c r="Q22" i="17"/>
  <c r="Q28" i="17"/>
  <c r="Q24" i="17"/>
  <c r="Q18" i="17"/>
  <c r="Q14" i="17"/>
  <c r="Q17" i="17"/>
  <c r="Q13" i="17"/>
  <c r="Q16" i="17"/>
  <c r="Q12" i="17"/>
  <c r="Q19" i="17"/>
  <c r="Q15" i="17"/>
  <c r="Q7" i="17"/>
  <c r="Q3" i="17"/>
  <c r="Q9" i="17"/>
  <c r="Q5" i="17"/>
  <c r="Q8" i="17"/>
  <c r="Q4" i="17"/>
  <c r="Q10" i="17"/>
  <c r="Q6" i="17"/>
  <c r="P99" i="17"/>
  <c r="P95" i="17"/>
  <c r="P98" i="17"/>
  <c r="P94" i="17"/>
  <c r="P97" i="17"/>
  <c r="P93" i="17"/>
  <c r="P100" i="17"/>
  <c r="P96" i="17"/>
  <c r="P88" i="17"/>
  <c r="P84" i="17"/>
  <c r="P90" i="17"/>
  <c r="P86" i="17"/>
  <c r="P89" i="17"/>
  <c r="P85" i="17"/>
  <c r="P91" i="17"/>
  <c r="P87" i="17"/>
  <c r="P79" i="17"/>
  <c r="P75" i="17"/>
  <c r="P82" i="17"/>
  <c r="P78" i="17"/>
  <c r="P74" i="17"/>
  <c r="P81" i="17"/>
  <c r="P77" i="17"/>
  <c r="P80" i="17"/>
  <c r="P72" i="17"/>
  <c r="P68" i="17"/>
  <c r="P71" i="17"/>
  <c r="P67" i="17"/>
  <c r="P70" i="17"/>
  <c r="P66" i="17"/>
  <c r="P73" i="17"/>
  <c r="P69" i="17"/>
  <c r="P61" i="17"/>
  <c r="P57" i="17"/>
  <c r="P63" i="17"/>
  <c r="P59" i="17"/>
  <c r="P62" i="17"/>
  <c r="P58" i="17"/>
  <c r="P64" i="17"/>
  <c r="P60" i="17"/>
  <c r="P54" i="17"/>
  <c r="P49" i="17"/>
  <c r="P52" i="17"/>
  <c r="P48" i="17"/>
  <c r="P50" i="17"/>
  <c r="P53" i="17"/>
  <c r="P55" i="17"/>
  <c r="P51" i="17"/>
  <c r="P46" i="17"/>
  <c r="P42" i="17"/>
  <c r="P38" i="17"/>
  <c r="P45" i="17"/>
  <c r="P41" i="17"/>
  <c r="P44" i="17"/>
  <c r="P40" i="17"/>
  <c r="P43" i="17"/>
  <c r="P34" i="17"/>
  <c r="P30" i="17"/>
  <c r="P37" i="17"/>
  <c r="P33" i="17"/>
  <c r="P29" i="17"/>
  <c r="P36" i="17"/>
  <c r="P32" i="17"/>
  <c r="P35" i="17"/>
  <c r="P25" i="17"/>
  <c r="P21" i="17"/>
  <c r="P27" i="17"/>
  <c r="P23" i="17"/>
  <c r="P26" i="17"/>
  <c r="P22" i="17"/>
  <c r="P28" i="17"/>
  <c r="P24" i="17"/>
  <c r="J97" i="17"/>
  <c r="J93" i="17"/>
  <c r="J99" i="17"/>
  <c r="J95" i="17"/>
  <c r="J98" i="17"/>
  <c r="J94" i="17"/>
  <c r="J100" i="17"/>
  <c r="J96" i="17"/>
  <c r="J88" i="17"/>
  <c r="J84" i="17"/>
  <c r="J90" i="17"/>
  <c r="J86" i="17"/>
  <c r="J89" i="17"/>
  <c r="J85" i="17"/>
  <c r="J91" i="17"/>
  <c r="J87" i="17"/>
  <c r="J79" i="17"/>
  <c r="J75" i="17"/>
  <c r="J82" i="17"/>
  <c r="J78" i="17"/>
  <c r="J74" i="17"/>
  <c r="J81" i="17"/>
  <c r="J77" i="17"/>
  <c r="J80" i="17"/>
  <c r="J72" i="17"/>
  <c r="J68" i="17"/>
  <c r="J71" i="17"/>
  <c r="J67" i="17"/>
  <c r="J70" i="17"/>
  <c r="J66" i="17"/>
  <c r="J73" i="17"/>
  <c r="J69" i="17"/>
  <c r="J60" i="17"/>
  <c r="J59" i="17"/>
  <c r="J62" i="17"/>
  <c r="J58" i="17"/>
  <c r="J64" i="17"/>
  <c r="J56" i="17"/>
  <c r="J63" i="17"/>
  <c r="J61" i="17"/>
  <c r="J54" i="17"/>
  <c r="J50" i="17"/>
  <c r="J53" i="17"/>
  <c r="J49" i="17"/>
  <c r="J52" i="17"/>
  <c r="J48" i="17"/>
  <c r="J55" i="17"/>
  <c r="J51" i="17"/>
  <c r="D35" i="1"/>
  <c r="D36" i="1"/>
  <c r="P11" i="17" a="1"/>
  <c r="P12" i="17"/>
  <c r="D37" i="1"/>
  <c r="D38" i="1"/>
  <c r="D39" i="1"/>
  <c r="D40" i="1"/>
  <c r="D41" i="1"/>
  <c r="U27" i="4"/>
  <c r="U20" i="4"/>
  <c r="U22" i="4"/>
  <c r="U23" i="4"/>
  <c r="U28" i="4"/>
  <c r="U25" i="4"/>
  <c r="U24" i="4"/>
  <c r="U21" i="4"/>
  <c r="U26" i="4"/>
  <c r="T20" i="4"/>
  <c r="T22" i="4"/>
  <c r="T21" i="4"/>
  <c r="T27" i="4"/>
  <c r="T28" i="4"/>
  <c r="T23" i="4"/>
  <c r="T24" i="4"/>
  <c r="T26" i="4"/>
  <c r="T25" i="4"/>
  <c r="O103" i="1" a="1"/>
  <c r="J23" i="17"/>
  <c r="J24" i="17"/>
  <c r="V79" i="1" a="1"/>
  <c r="V97" i="1"/>
  <c r="P79" i="1" a="1"/>
  <c r="P94" i="1"/>
  <c r="N79" i="1" a="1"/>
  <c r="N97" i="1"/>
  <c r="T79" i="1" a="1"/>
  <c r="R79" i="1" a="1"/>
  <c r="J28" i="17"/>
  <c r="J27" i="17"/>
  <c r="J22" i="17"/>
  <c r="J21" i="17"/>
  <c r="M54" i="1" a="1"/>
  <c r="J26" i="17"/>
  <c r="J25" i="17"/>
  <c r="Q85" i="1" a="1"/>
  <c r="Q85" i="1"/>
  <c r="Q91" i="1" a="1"/>
  <c r="Q91" i="1"/>
  <c r="Q95" i="1" a="1"/>
  <c r="Q95" i="1"/>
  <c r="Q79" i="1" a="1"/>
  <c r="Q79" i="1"/>
  <c r="Q81" i="1" a="1"/>
  <c r="Q81" i="1"/>
  <c r="Q83" i="1" a="1"/>
  <c r="Q83" i="1"/>
  <c r="Q87" i="1" a="1"/>
  <c r="Q87" i="1"/>
  <c r="Q89" i="1" a="1"/>
  <c r="Q89" i="1"/>
  <c r="Q93" i="1" a="1"/>
  <c r="Q93" i="1"/>
  <c r="Q80" i="1" a="1"/>
  <c r="Q80" i="1"/>
  <c r="Q82" i="1" a="1"/>
  <c r="Q82" i="1"/>
  <c r="Q84" i="1" a="1"/>
  <c r="Q84" i="1"/>
  <c r="Q86" i="1" a="1"/>
  <c r="Q86" i="1"/>
  <c r="Q88" i="1" a="1"/>
  <c r="Q88" i="1"/>
  <c r="Q90" i="1" a="1"/>
  <c r="Q90" i="1"/>
  <c r="Q92" i="1" a="1"/>
  <c r="Q92" i="1"/>
  <c r="Q94" i="1" a="1"/>
  <c r="Q94" i="1"/>
  <c r="Q96" i="1" a="1"/>
  <c r="Q96" i="1"/>
  <c r="Q98" i="1" a="1"/>
  <c r="Q98" i="1"/>
  <c r="Q97" i="1" a="1"/>
  <c r="Q97" i="1"/>
  <c r="Q105" i="1" a="1"/>
  <c r="Q105" i="1"/>
  <c r="Q108" i="1" a="1"/>
  <c r="Q108" i="1"/>
  <c r="Q113" i="1" a="1"/>
  <c r="Q113" i="1"/>
  <c r="Q116" i="1" a="1"/>
  <c r="Q116" i="1"/>
  <c r="Q121" i="1" a="1"/>
  <c r="Q121" i="1"/>
  <c r="Q106" i="1" a="1"/>
  <c r="Q106" i="1"/>
  <c r="Q111" i="1" a="1"/>
  <c r="Q111" i="1"/>
  <c r="Q114" i="1" a="1"/>
  <c r="Q114" i="1"/>
  <c r="Q119" i="1" a="1"/>
  <c r="Q119" i="1"/>
  <c r="Q122" i="1" a="1"/>
  <c r="Q122" i="1"/>
  <c r="Q107" i="1" a="1"/>
  <c r="Q107" i="1"/>
  <c r="Q110" i="1" a="1"/>
  <c r="Q110" i="1"/>
  <c r="Q115" i="1" a="1"/>
  <c r="Q115" i="1"/>
  <c r="Q118" i="1" a="1"/>
  <c r="Q118" i="1"/>
  <c r="Q103" i="1" a="1"/>
  <c r="Q103" i="1"/>
  <c r="Q104" i="1" a="1"/>
  <c r="Q104" i="1"/>
  <c r="Q109" i="1" a="1"/>
  <c r="Q109" i="1"/>
  <c r="Q117" i="1" a="1"/>
  <c r="Q117" i="1"/>
  <c r="Q112" i="1" a="1"/>
  <c r="Q112" i="1"/>
  <c r="Q120" i="1" a="1"/>
  <c r="Q120" i="1"/>
  <c r="S106" i="1" a="1"/>
  <c r="S106" i="1"/>
  <c r="S111" i="1" a="1"/>
  <c r="S111" i="1"/>
  <c r="S115" i="1" a="1"/>
  <c r="S115" i="1"/>
  <c r="S119" i="1" a="1"/>
  <c r="S119" i="1"/>
  <c r="S103" i="1" a="1"/>
  <c r="S103" i="1"/>
  <c r="S104" i="1" a="1"/>
  <c r="S104" i="1"/>
  <c r="S109" i="1" a="1"/>
  <c r="S109" i="1"/>
  <c r="S112" i="1" a="1"/>
  <c r="S112" i="1"/>
  <c r="S116" i="1" a="1"/>
  <c r="S116" i="1"/>
  <c r="S120" i="1" a="1"/>
  <c r="S120" i="1"/>
  <c r="S105" i="1" a="1"/>
  <c r="S105" i="1"/>
  <c r="S108" i="1" a="1"/>
  <c r="S108" i="1"/>
  <c r="S114" i="1" a="1"/>
  <c r="S114" i="1"/>
  <c r="S118" i="1" a="1"/>
  <c r="S118" i="1"/>
  <c r="S122" i="1" a="1"/>
  <c r="S122" i="1"/>
  <c r="S110" i="1" a="1"/>
  <c r="S110" i="1"/>
  <c r="S113" i="1" a="1"/>
  <c r="S113" i="1"/>
  <c r="S107" i="1" a="1"/>
  <c r="S107" i="1"/>
  <c r="S121" i="1" a="1"/>
  <c r="S121" i="1"/>
  <c r="S117" i="1" a="1"/>
  <c r="S117" i="1"/>
  <c r="U107" i="1" a="1"/>
  <c r="U107" i="1"/>
  <c r="U110" i="1" a="1"/>
  <c r="U110" i="1"/>
  <c r="U115" i="1" a="1"/>
  <c r="U115" i="1"/>
  <c r="U118" i="1" a="1"/>
  <c r="U118" i="1"/>
  <c r="U103" i="1" a="1"/>
  <c r="U103" i="1"/>
  <c r="U105" i="1" a="1"/>
  <c r="U105" i="1"/>
  <c r="U108" i="1" a="1"/>
  <c r="U108" i="1"/>
  <c r="U113" i="1" a="1"/>
  <c r="U113" i="1"/>
  <c r="U116" i="1" a="1"/>
  <c r="U116" i="1"/>
  <c r="U121" i="1" a="1"/>
  <c r="U121" i="1"/>
  <c r="U104" i="1" a="1"/>
  <c r="U104" i="1"/>
  <c r="U109" i="1" a="1"/>
  <c r="U109" i="1"/>
  <c r="U112" i="1" a="1"/>
  <c r="U112" i="1"/>
  <c r="U117" i="1" a="1"/>
  <c r="U117" i="1"/>
  <c r="U120" i="1" a="1"/>
  <c r="U120" i="1"/>
  <c r="U119" i="1" a="1"/>
  <c r="U119" i="1"/>
  <c r="U111" i="1" a="1"/>
  <c r="U111" i="1"/>
  <c r="U122" i="1" a="1"/>
  <c r="U122" i="1"/>
  <c r="U114" i="1" a="1"/>
  <c r="U114" i="1"/>
  <c r="U106" i="1" a="1"/>
  <c r="U106" i="1"/>
  <c r="N108" i="1" a="1"/>
  <c r="N108" i="1"/>
  <c r="N111" i="1" a="1"/>
  <c r="N111" i="1"/>
  <c r="N116" i="1" a="1"/>
  <c r="N116" i="1"/>
  <c r="N119" i="1" a="1"/>
  <c r="N119" i="1"/>
  <c r="N106" i="1" a="1"/>
  <c r="N106" i="1"/>
  <c r="N109" i="1" a="1"/>
  <c r="N109" i="1"/>
  <c r="N114" i="1" a="1"/>
  <c r="N114" i="1"/>
  <c r="N117" i="1" a="1"/>
  <c r="N117" i="1"/>
  <c r="N122" i="1" a="1"/>
  <c r="N122" i="1"/>
  <c r="N105" i="1" a="1"/>
  <c r="N105" i="1"/>
  <c r="N110" i="1" a="1"/>
  <c r="N110" i="1"/>
  <c r="N113" i="1" a="1"/>
  <c r="N113" i="1"/>
  <c r="N118" i="1" a="1"/>
  <c r="N118" i="1"/>
  <c r="N121" i="1" a="1"/>
  <c r="N121" i="1"/>
  <c r="N107" i="1" a="1"/>
  <c r="N107" i="1"/>
  <c r="N103" i="1" a="1"/>
  <c r="N103" i="1"/>
  <c r="N120" i="1" a="1"/>
  <c r="N120" i="1"/>
  <c r="N104" i="1" a="1"/>
  <c r="N104" i="1"/>
  <c r="N115" i="1" a="1"/>
  <c r="N115" i="1"/>
  <c r="N112" i="1" a="1"/>
  <c r="N112" i="1"/>
  <c r="T104" i="1" a="1"/>
  <c r="T104" i="1"/>
  <c r="T107" i="1" a="1"/>
  <c r="T107" i="1"/>
  <c r="T112" i="1" a="1"/>
  <c r="T112" i="1"/>
  <c r="T115" i="1" a="1"/>
  <c r="T115" i="1"/>
  <c r="T120" i="1" a="1"/>
  <c r="T120" i="1"/>
  <c r="T103" i="1" a="1"/>
  <c r="T103" i="1"/>
  <c r="T105" i="1" a="1"/>
  <c r="T105" i="1"/>
  <c r="T110" i="1" a="1"/>
  <c r="T110" i="1"/>
  <c r="T113" i="1" a="1"/>
  <c r="T113" i="1"/>
  <c r="T118" i="1" a="1"/>
  <c r="T118" i="1"/>
  <c r="T121" i="1" a="1"/>
  <c r="T121" i="1"/>
  <c r="T106" i="1" a="1"/>
  <c r="T106" i="1"/>
  <c r="T109" i="1" a="1"/>
  <c r="T109" i="1"/>
  <c r="T114" i="1" a="1"/>
  <c r="T114" i="1"/>
  <c r="T117" i="1" a="1"/>
  <c r="T117" i="1"/>
  <c r="T122" i="1" a="1"/>
  <c r="T122" i="1"/>
  <c r="T116" i="1" a="1"/>
  <c r="T116" i="1"/>
  <c r="T108" i="1" a="1"/>
  <c r="T108" i="1"/>
  <c r="T119" i="1" a="1"/>
  <c r="T119" i="1"/>
  <c r="T111" i="1" a="1"/>
  <c r="T111" i="1"/>
  <c r="V104" i="1" a="1"/>
  <c r="V104" i="1"/>
  <c r="V108" i="1" a="1"/>
  <c r="V108" i="1"/>
  <c r="V112" i="1" a="1"/>
  <c r="V112" i="1"/>
  <c r="V116" i="1" a="1"/>
  <c r="V116" i="1"/>
  <c r="V120" i="1" a="1"/>
  <c r="V120" i="1"/>
  <c r="V105" i="1" a="1"/>
  <c r="V105" i="1"/>
  <c r="V109" i="1" a="1"/>
  <c r="V109" i="1"/>
  <c r="V113" i="1" a="1"/>
  <c r="V113" i="1"/>
  <c r="V117" i="1" a="1"/>
  <c r="V117" i="1"/>
  <c r="V121" i="1" a="1"/>
  <c r="V121" i="1"/>
  <c r="V107" i="1" a="1"/>
  <c r="V107" i="1"/>
  <c r="V111" i="1" a="1"/>
  <c r="V111" i="1"/>
  <c r="V115" i="1" a="1"/>
  <c r="V115" i="1"/>
  <c r="V119" i="1" a="1"/>
  <c r="V119" i="1"/>
  <c r="V103" i="1" a="1"/>
  <c r="V103" i="1"/>
  <c r="V110" i="1" a="1"/>
  <c r="V110" i="1"/>
  <c r="V118" i="1" a="1"/>
  <c r="V118" i="1"/>
  <c r="V114" i="1" a="1"/>
  <c r="V114" i="1"/>
  <c r="V106" i="1" a="1"/>
  <c r="V106" i="1"/>
  <c r="V122" i="1" a="1"/>
  <c r="V122" i="1"/>
  <c r="S82" i="1" a="1"/>
  <c r="S82" i="1"/>
  <c r="S87" i="1" a="1"/>
  <c r="S87" i="1"/>
  <c r="S90" i="1" a="1"/>
  <c r="S90" i="1"/>
  <c r="S95" i="1" a="1"/>
  <c r="S95" i="1"/>
  <c r="S98" i="1" a="1"/>
  <c r="S98" i="1"/>
  <c r="S94" i="1" a="1"/>
  <c r="S94" i="1"/>
  <c r="S80" i="1" a="1"/>
  <c r="S80" i="1"/>
  <c r="S85" i="1" a="1"/>
  <c r="S85" i="1"/>
  <c r="S88" i="1" a="1"/>
  <c r="S88" i="1"/>
  <c r="S93" i="1" a="1"/>
  <c r="S93" i="1"/>
  <c r="S96" i="1" a="1"/>
  <c r="S96" i="1"/>
  <c r="S91" i="1" a="1"/>
  <c r="S91" i="1"/>
  <c r="S81" i="1" a="1"/>
  <c r="S81" i="1"/>
  <c r="S84" i="1" a="1"/>
  <c r="S84" i="1"/>
  <c r="S89" i="1" a="1"/>
  <c r="S89" i="1"/>
  <c r="S92" i="1" a="1"/>
  <c r="S92" i="1"/>
  <c r="S97" i="1" a="1"/>
  <c r="S97" i="1"/>
  <c r="S83" i="1" a="1"/>
  <c r="S83" i="1"/>
  <c r="S86" i="1" a="1"/>
  <c r="S86" i="1"/>
  <c r="S79" i="1" a="1"/>
  <c r="S79" i="1"/>
  <c r="P106" i="1" a="1"/>
  <c r="P106" i="1"/>
  <c r="P110" i="1" a="1"/>
  <c r="P110" i="1"/>
  <c r="P114" i="1" a="1"/>
  <c r="P114" i="1"/>
  <c r="P118" i="1" a="1"/>
  <c r="P118" i="1"/>
  <c r="P122" i="1" a="1"/>
  <c r="P122" i="1"/>
  <c r="P107" i="1" a="1"/>
  <c r="P107" i="1"/>
  <c r="P111" i="1" a="1"/>
  <c r="P111" i="1"/>
  <c r="P115" i="1" a="1"/>
  <c r="P115" i="1"/>
  <c r="P119" i="1" a="1"/>
  <c r="P119" i="1"/>
  <c r="P103" i="1" a="1"/>
  <c r="P103" i="1"/>
  <c r="P105" i="1" a="1"/>
  <c r="P105" i="1"/>
  <c r="P109" i="1" a="1"/>
  <c r="P109" i="1"/>
  <c r="P113" i="1" a="1"/>
  <c r="P113" i="1"/>
  <c r="P117" i="1" a="1"/>
  <c r="P117" i="1"/>
  <c r="P121" i="1" a="1"/>
  <c r="P121" i="1"/>
  <c r="P112" i="1" a="1"/>
  <c r="P112" i="1"/>
  <c r="P116" i="1" a="1"/>
  <c r="P116" i="1"/>
  <c r="P120" i="1" a="1"/>
  <c r="P120" i="1"/>
  <c r="P108" i="1" a="1"/>
  <c r="P108" i="1"/>
  <c r="P104" i="1" a="1"/>
  <c r="P104" i="1"/>
  <c r="U83" i="1" a="1"/>
  <c r="U83" i="1"/>
  <c r="U87" i="1" a="1"/>
  <c r="U87" i="1"/>
  <c r="U91" i="1" a="1"/>
  <c r="U91" i="1"/>
  <c r="U95" i="1" a="1"/>
  <c r="U95" i="1"/>
  <c r="U79" i="1" a="1"/>
  <c r="U79" i="1"/>
  <c r="U85" i="1" a="1"/>
  <c r="U85" i="1"/>
  <c r="U93" i="1" a="1"/>
  <c r="U93" i="1"/>
  <c r="U80" i="1" a="1"/>
  <c r="U80" i="1"/>
  <c r="U84" i="1" a="1"/>
  <c r="U84" i="1"/>
  <c r="U88" i="1" a="1"/>
  <c r="U88" i="1"/>
  <c r="U92" i="1" a="1"/>
  <c r="U92" i="1"/>
  <c r="U96" i="1" a="1"/>
  <c r="U96" i="1"/>
  <c r="U81" i="1" a="1"/>
  <c r="U81" i="1"/>
  <c r="U97" i="1" a="1"/>
  <c r="U97" i="1"/>
  <c r="U82" i="1" a="1"/>
  <c r="U82" i="1"/>
  <c r="U86" i="1" a="1"/>
  <c r="U86" i="1"/>
  <c r="U90" i="1" a="1"/>
  <c r="U90" i="1"/>
  <c r="U94" i="1" a="1"/>
  <c r="U94" i="1"/>
  <c r="U98" i="1" a="1"/>
  <c r="U98" i="1"/>
  <c r="U89" i="1" a="1"/>
  <c r="U89" i="1"/>
  <c r="S54" i="1" a="1"/>
  <c r="S63" i="1"/>
  <c r="U54" i="1" a="1"/>
  <c r="U56" i="1"/>
  <c r="P16" i="17"/>
  <c r="P13" i="17"/>
  <c r="R54" i="1" a="1"/>
  <c r="R59" i="1"/>
  <c r="P18" i="17"/>
  <c r="P17" i="17"/>
  <c r="P11" i="17"/>
  <c r="P14" i="17"/>
  <c r="J11" i="17" a="1"/>
  <c r="P19" i="17"/>
  <c r="P15" i="17"/>
  <c r="Q54" i="1" a="1"/>
  <c r="N54" i="1" a="1"/>
  <c r="T54" i="1" a="1"/>
  <c r="V54" i="1" a="1"/>
  <c r="P54" i="1" a="1"/>
  <c r="T13" i="1" a="1"/>
  <c r="T13" i="1"/>
  <c r="P48" i="1" a="1"/>
  <c r="P48" i="1"/>
  <c r="T17" i="1" a="1"/>
  <c r="T17" i="1"/>
  <c r="P44" i="1" a="1"/>
  <c r="P44" i="1"/>
  <c r="P45" i="1" a="1"/>
  <c r="P45" i="1"/>
  <c r="P50" i="1" a="1"/>
  <c r="P50" i="1"/>
  <c r="T11" i="1" a="1"/>
  <c r="T11" i="1"/>
  <c r="P49" i="1" a="1"/>
  <c r="P49" i="1"/>
  <c r="T15" i="1" a="1"/>
  <c r="T15" i="1"/>
  <c r="P46" i="1" a="1"/>
  <c r="P46" i="1"/>
  <c r="T10" i="1" a="1"/>
  <c r="T10" i="1"/>
  <c r="T12" i="1" a="1"/>
  <c r="T12" i="1"/>
  <c r="T16" i="1" a="1"/>
  <c r="T16" i="1"/>
  <c r="P47" i="1" a="1"/>
  <c r="P47" i="1"/>
  <c r="T14" i="1" a="1"/>
  <c r="T14" i="1"/>
  <c r="B73" i="4" a="1"/>
  <c r="U101" i="4"/>
  <c r="G72" i="4"/>
  <c r="M55" i="1"/>
  <c r="M58" i="1"/>
  <c r="M65" i="1"/>
  <c r="M68" i="1"/>
  <c r="M71" i="1"/>
  <c r="M62" i="1"/>
  <c r="M69" i="1"/>
  <c r="M72" i="1"/>
  <c r="M56" i="1"/>
  <c r="M59" i="1"/>
  <c r="M70" i="1"/>
  <c r="M54" i="1"/>
  <c r="M61" i="1"/>
  <c r="M64" i="1"/>
  <c r="M67" i="1"/>
  <c r="M66" i="1"/>
  <c r="M73" i="1"/>
  <c r="M57" i="1"/>
  <c r="M60" i="1"/>
  <c r="M63" i="1"/>
  <c r="O105" i="1"/>
  <c r="O117" i="1"/>
  <c r="O116" i="1"/>
  <c r="O109" i="1"/>
  <c r="O120" i="1"/>
  <c r="O104" i="1"/>
  <c r="O119" i="1"/>
  <c r="O112" i="1"/>
  <c r="O107" i="1"/>
  <c r="O121" i="1"/>
  <c r="O118" i="1"/>
  <c r="O113" i="1"/>
  <c r="O110" i="1"/>
  <c r="O122" i="1"/>
  <c r="O108" i="1"/>
  <c r="O106" i="1"/>
  <c r="O111" i="1"/>
  <c r="O114" i="1"/>
  <c r="O103" i="1"/>
  <c r="O115" i="1"/>
  <c r="V84" i="1"/>
  <c r="V90" i="1"/>
  <c r="V88" i="1"/>
  <c r="P88" i="1"/>
  <c r="V91" i="1"/>
  <c r="V81" i="1"/>
  <c r="P81" i="1"/>
  <c r="V94" i="1"/>
  <c r="V95" i="1"/>
  <c r="P79" i="1"/>
  <c r="V96" i="1"/>
  <c r="V82" i="1"/>
  <c r="V79" i="1"/>
  <c r="V83" i="1"/>
  <c r="P96" i="1"/>
  <c r="V85" i="1"/>
  <c r="V89" i="1"/>
  <c r="V93" i="1"/>
  <c r="V80" i="1"/>
  <c r="N91" i="1"/>
  <c r="N92" i="1"/>
  <c r="N96" i="1"/>
  <c r="N81" i="1"/>
  <c r="V87" i="1"/>
  <c r="V98" i="1"/>
  <c r="V86" i="1"/>
  <c r="V92" i="1"/>
  <c r="N98" i="1"/>
  <c r="N79" i="1"/>
  <c r="N80" i="1"/>
  <c r="N84" i="1"/>
  <c r="P91" i="1"/>
  <c r="P90" i="1"/>
  <c r="P80" i="1"/>
  <c r="N85" i="1"/>
  <c r="N89" i="1"/>
  <c r="N93" i="1"/>
  <c r="N82" i="1"/>
  <c r="N86" i="1"/>
  <c r="N90" i="1"/>
  <c r="N87" i="1"/>
  <c r="P82" i="1"/>
  <c r="P93" i="1"/>
  <c r="P87" i="1"/>
  <c r="N88" i="1"/>
  <c r="N95" i="1"/>
  <c r="N83" i="1"/>
  <c r="N94" i="1"/>
  <c r="P98" i="1"/>
  <c r="P86" i="1"/>
  <c r="P92" i="1"/>
  <c r="P97" i="1"/>
  <c r="P85" i="1"/>
  <c r="P84" i="1"/>
  <c r="P89" i="1"/>
  <c r="P95" i="1"/>
  <c r="P83" i="1"/>
  <c r="R79" i="1"/>
  <c r="R90" i="1"/>
  <c r="R93" i="1"/>
  <c r="R96" i="1"/>
  <c r="R80" i="1"/>
  <c r="R83" i="1"/>
  <c r="R86" i="1"/>
  <c r="R89" i="1"/>
  <c r="R92" i="1"/>
  <c r="R95" i="1"/>
  <c r="R98" i="1"/>
  <c r="R82" i="1"/>
  <c r="R85" i="1"/>
  <c r="R88" i="1"/>
  <c r="R91" i="1"/>
  <c r="R94" i="1"/>
  <c r="R97" i="1"/>
  <c r="R81" i="1"/>
  <c r="R84" i="1"/>
  <c r="R87" i="1"/>
  <c r="T82" i="1"/>
  <c r="T93" i="1"/>
  <c r="T96" i="1"/>
  <c r="T80" i="1"/>
  <c r="T83" i="1"/>
  <c r="T90" i="1"/>
  <c r="T89" i="1"/>
  <c r="T92" i="1"/>
  <c r="T95" i="1"/>
  <c r="T79" i="1"/>
  <c r="T86" i="1"/>
  <c r="T85" i="1"/>
  <c r="T88" i="1"/>
  <c r="T91" i="1"/>
  <c r="T98" i="1"/>
  <c r="T97" i="1"/>
  <c r="T81" i="1"/>
  <c r="T84" i="1"/>
  <c r="T87" i="1"/>
  <c r="T94" i="1"/>
  <c r="R69" i="1"/>
  <c r="S56" i="1"/>
  <c r="S67" i="1"/>
  <c r="S66" i="1"/>
  <c r="S62" i="1"/>
  <c r="S61" i="1"/>
  <c r="R55" i="1"/>
  <c r="S70" i="1"/>
  <c r="S72" i="1"/>
  <c r="R60" i="1"/>
  <c r="Q123" i="1"/>
  <c r="P123" i="1"/>
  <c r="U63" i="1"/>
  <c r="U67" i="1"/>
  <c r="U55" i="1"/>
  <c r="U72" i="1"/>
  <c r="U60" i="1"/>
  <c r="U61" i="1"/>
  <c r="U71" i="1"/>
  <c r="U69" i="1"/>
  <c r="S60" i="1"/>
  <c r="S65" i="1"/>
  <c r="S55" i="1"/>
  <c r="S69" i="1"/>
  <c r="R66" i="1"/>
  <c r="R61" i="1"/>
  <c r="R56" i="1"/>
  <c r="U57" i="1"/>
  <c r="U65" i="1"/>
  <c r="U62" i="1"/>
  <c r="U54" i="1"/>
  <c r="S73" i="1"/>
  <c r="S59" i="1"/>
  <c r="S71" i="1"/>
  <c r="S54" i="1"/>
  <c r="R63" i="1"/>
  <c r="R54" i="1"/>
  <c r="U58" i="1"/>
  <c r="U70" i="1"/>
  <c r="U59" i="1"/>
  <c r="R58" i="1"/>
  <c r="R72" i="1"/>
  <c r="S57" i="1"/>
  <c r="S68" i="1"/>
  <c r="S64" i="1"/>
  <c r="S58" i="1"/>
  <c r="R57" i="1"/>
  <c r="R68" i="1"/>
  <c r="R71" i="1"/>
  <c r="R70" i="1"/>
  <c r="R62" i="1"/>
  <c r="U66" i="1"/>
  <c r="U73" i="1"/>
  <c r="U68" i="1"/>
  <c r="U64" i="1"/>
  <c r="R73" i="1"/>
  <c r="R65" i="1"/>
  <c r="R64" i="1"/>
  <c r="R67" i="1"/>
  <c r="J11" i="17"/>
  <c r="J18" i="17"/>
  <c r="J16" i="17"/>
  <c r="J14" i="17"/>
  <c r="J12" i="17"/>
  <c r="J17" i="17"/>
  <c r="J19" i="17"/>
  <c r="J13" i="17"/>
  <c r="J15" i="17"/>
  <c r="P56" i="1"/>
  <c r="P63" i="1"/>
  <c r="P66" i="1"/>
  <c r="P73" i="1"/>
  <c r="P57" i="1"/>
  <c r="P60" i="1"/>
  <c r="P71" i="1"/>
  <c r="P55" i="1"/>
  <c r="P58" i="1"/>
  <c r="P65" i="1"/>
  <c r="P68" i="1"/>
  <c r="P59" i="1"/>
  <c r="P62" i="1"/>
  <c r="P69" i="1"/>
  <c r="P72" i="1"/>
  <c r="P67" i="1"/>
  <c r="P70" i="1"/>
  <c r="P54" i="1"/>
  <c r="P61" i="1"/>
  <c r="P64" i="1"/>
  <c r="N54" i="1"/>
  <c r="N73" i="1"/>
  <c r="N57" i="1"/>
  <c r="N60" i="1"/>
  <c r="N63" i="1"/>
  <c r="N66" i="1"/>
  <c r="N69" i="1"/>
  <c r="N72" i="1"/>
  <c r="N56" i="1"/>
  <c r="N59" i="1"/>
  <c r="N62" i="1"/>
  <c r="N61" i="1"/>
  <c r="N64" i="1"/>
  <c r="N67" i="1"/>
  <c r="N70" i="1"/>
  <c r="N71" i="1"/>
  <c r="N65" i="1"/>
  <c r="N55" i="1"/>
  <c r="N58" i="1"/>
  <c r="N68" i="1"/>
  <c r="T55" i="1"/>
  <c r="T66" i="1"/>
  <c r="T65" i="1"/>
  <c r="T64" i="1"/>
  <c r="T58" i="1"/>
  <c r="T67" i="1"/>
  <c r="T54" i="1"/>
  <c r="T72" i="1"/>
  <c r="T56" i="1"/>
  <c r="T61" i="1"/>
  <c r="T59" i="1"/>
  <c r="T62" i="1"/>
  <c r="T57" i="1"/>
  <c r="T60" i="1"/>
  <c r="T73" i="1"/>
  <c r="T63" i="1"/>
  <c r="T69" i="1"/>
  <c r="T68" i="1"/>
  <c r="T70" i="1"/>
  <c r="T71" i="1"/>
  <c r="V54" i="1"/>
  <c r="V61" i="1"/>
  <c r="V64" i="1"/>
  <c r="V67" i="1"/>
  <c r="V70" i="1"/>
  <c r="V69" i="1"/>
  <c r="V59" i="1"/>
  <c r="V62" i="1"/>
  <c r="V73" i="1"/>
  <c r="V57" i="1"/>
  <c r="V60" i="1"/>
  <c r="V63" i="1"/>
  <c r="V66" i="1"/>
  <c r="V65" i="1"/>
  <c r="V68" i="1"/>
  <c r="V71" i="1"/>
  <c r="V55" i="1"/>
  <c r="V58" i="1"/>
  <c r="V72" i="1"/>
  <c r="V56" i="1"/>
  <c r="Q55" i="1"/>
  <c r="Q54" i="1"/>
  <c r="Q70" i="1"/>
  <c r="Q73" i="1"/>
  <c r="Q57" i="1"/>
  <c r="Q60" i="1"/>
  <c r="Q63" i="1"/>
  <c r="Q62" i="1"/>
  <c r="Q65" i="1"/>
  <c r="Q68" i="1"/>
  <c r="Q71" i="1"/>
  <c r="Q66" i="1"/>
  <c r="Q69" i="1"/>
  <c r="Q72" i="1"/>
  <c r="Q56" i="1"/>
  <c r="Q59" i="1"/>
  <c r="Q58" i="1"/>
  <c r="Q61" i="1"/>
  <c r="Q64" i="1"/>
  <c r="Q67" i="1"/>
  <c r="M43" i="1"/>
  <c r="Q9" i="1"/>
  <c r="Q8" i="1"/>
  <c r="T7" i="1" a="1"/>
  <c r="T7" i="1"/>
  <c r="Q6" i="1"/>
  <c r="O17" i="1" a="1"/>
  <c r="O17" i="1"/>
  <c r="O16" i="1" a="1"/>
  <c r="O16" i="1"/>
  <c r="O15" i="1" a="1"/>
  <c r="O15" i="1"/>
  <c r="O14" i="1" a="1"/>
  <c r="O14" i="1"/>
  <c r="M14" i="1"/>
  <c r="O13" i="1" a="1"/>
  <c r="O13" i="1"/>
  <c r="O11" i="1" a="1"/>
  <c r="O11" i="1"/>
  <c r="O10" i="1" a="1"/>
  <c r="O10" i="1"/>
  <c r="O9" i="1" a="1"/>
  <c r="O9" i="1"/>
  <c r="O8" i="1" a="1"/>
  <c r="O8" i="1"/>
  <c r="O5" i="1" a="1"/>
  <c r="O5" i="1"/>
  <c r="B73" i="4"/>
  <c r="B74" i="4"/>
  <c r="Q74" i="1"/>
  <c r="P74" i="1"/>
  <c r="S44" i="1" a="1"/>
  <c r="Q23" i="1" a="1"/>
  <c r="S49" i="1"/>
  <c r="S45" i="1"/>
  <c r="S48" i="1"/>
  <c r="S46" i="1"/>
  <c r="S47" i="1"/>
  <c r="S44" i="1"/>
  <c r="S50" i="1"/>
  <c r="D69" i="1"/>
  <c r="Q23" i="1"/>
  <c r="Q36" i="1"/>
  <c r="Q28" i="1"/>
  <c r="R36" i="1"/>
  <c r="R28" i="1"/>
  <c r="R37" i="1"/>
  <c r="R29" i="1"/>
  <c r="Q39" i="1"/>
  <c r="Q31" i="1"/>
  <c r="Q34" i="1"/>
  <c r="Q26" i="1"/>
  <c r="R34" i="1"/>
  <c r="R26" i="1"/>
  <c r="R35" i="1"/>
  <c r="R27" i="1"/>
  <c r="Q37" i="1"/>
  <c r="Q29" i="1"/>
  <c r="Q32" i="1"/>
  <c r="Q24" i="1"/>
  <c r="R32" i="1"/>
  <c r="R24" i="1"/>
  <c r="R33" i="1"/>
  <c r="R25" i="1"/>
  <c r="Q35" i="1"/>
  <c r="Q27" i="1"/>
  <c r="Q38" i="1"/>
  <c r="Q30" i="1"/>
  <c r="R38" i="1"/>
  <c r="R30" i="1"/>
  <c r="R39" i="1"/>
  <c r="R31" i="1"/>
  <c r="R23" i="1"/>
  <c r="Q33" i="1"/>
  <c r="Q25" i="1"/>
  <c r="P2" i="17" a="1"/>
  <c r="J29" i="17" a="1"/>
  <c r="O7" i="1" a="1"/>
  <c r="O7" i="1"/>
  <c r="M7" i="1"/>
  <c r="M5" i="1"/>
  <c r="M8" i="1"/>
  <c r="M9" i="1"/>
  <c r="M10" i="1"/>
  <c r="M11" i="1"/>
  <c r="M13" i="1"/>
  <c r="M15" i="1"/>
  <c r="M16" i="1"/>
  <c r="M17" i="1"/>
  <c r="O81" i="1" a="1"/>
  <c r="O81" i="1"/>
  <c r="O93" i="1" a="1"/>
  <c r="O93" i="1"/>
  <c r="O85" i="1" a="1"/>
  <c r="O85" i="1"/>
  <c r="O87" i="1" a="1"/>
  <c r="O87" i="1"/>
  <c r="O84" i="1" a="1"/>
  <c r="O84" i="1"/>
  <c r="O97" i="1" a="1"/>
  <c r="O97" i="1"/>
  <c r="O91" i="1" a="1"/>
  <c r="O91" i="1"/>
  <c r="O88" i="1" a="1"/>
  <c r="O88" i="1"/>
  <c r="O92" i="1" a="1"/>
  <c r="O92" i="1"/>
  <c r="O98" i="1" a="1"/>
  <c r="O98" i="1"/>
  <c r="O89" i="1" a="1"/>
  <c r="O89" i="1"/>
  <c r="O86" i="1" a="1"/>
  <c r="O86" i="1"/>
  <c r="O79" i="1" a="1"/>
  <c r="O79" i="1"/>
  <c r="O94" i="1" a="1"/>
  <c r="O94" i="1"/>
  <c r="O83" i="1" a="1"/>
  <c r="O83" i="1"/>
  <c r="O96" i="1" a="1"/>
  <c r="O96" i="1"/>
  <c r="O80" i="1" a="1"/>
  <c r="O80" i="1"/>
  <c r="O90" i="1" a="1"/>
  <c r="O90" i="1"/>
  <c r="O82" i="1" a="1"/>
  <c r="O82" i="1"/>
  <c r="O95" i="1" a="1"/>
  <c r="O95" i="1"/>
  <c r="J31" i="17"/>
  <c r="J36" i="17"/>
  <c r="J37" i="17"/>
  <c r="J33" i="17"/>
  <c r="J34" i="17"/>
  <c r="J35" i="17"/>
  <c r="J32" i="17"/>
  <c r="J29" i="17"/>
  <c r="J30" i="17"/>
  <c r="P2" i="17"/>
  <c r="P9" i="17"/>
  <c r="P7" i="17"/>
  <c r="P5" i="17"/>
  <c r="P3" i="17"/>
  <c r="P8" i="17"/>
  <c r="P10" i="17"/>
  <c r="P4" i="17"/>
  <c r="P6" i="17"/>
  <c r="D34" i="1"/>
  <c r="M24" i="1" a="1"/>
  <c r="M24" i="1"/>
  <c r="M25" i="1" a="1"/>
  <c r="M25" i="1"/>
  <c r="O54" i="1" a="1"/>
  <c r="S17" i="1" a="1"/>
  <c r="S17" i="1"/>
  <c r="S13" i="1" a="1"/>
  <c r="S13" i="1"/>
  <c r="S16" i="1" a="1"/>
  <c r="S16" i="1"/>
  <c r="S15" i="1" a="1"/>
  <c r="S15" i="1"/>
  <c r="S14" i="1" a="1"/>
  <c r="S14" i="1"/>
  <c r="S11" i="1" a="1"/>
  <c r="S11" i="1"/>
  <c r="S12" i="1" a="1"/>
  <c r="S12" i="1"/>
  <c r="S10" i="1" a="1"/>
  <c r="S10" i="1"/>
  <c r="Q4" i="1" a="1"/>
  <c r="Q4" i="1"/>
  <c r="G105" i="4" a="1"/>
  <c r="G105" i="4"/>
  <c r="G84" i="4" a="1"/>
  <c r="G79" i="4" a="1"/>
  <c r="G79" i="4"/>
  <c r="G67" i="4" a="1"/>
  <c r="G67" i="4"/>
  <c r="G65" i="4" a="1"/>
  <c r="G65" i="4"/>
  <c r="G55" i="4" a="1"/>
  <c r="G55" i="4"/>
  <c r="G56" i="4" a="1"/>
  <c r="G56" i="4"/>
  <c r="G46" i="4" a="1"/>
  <c r="G46" i="4"/>
  <c r="G42" i="4" a="1"/>
  <c r="G42" i="4"/>
  <c r="G35" i="4" a="1"/>
  <c r="G35" i="4"/>
  <c r="G31" i="4" a="1"/>
  <c r="G31" i="4"/>
  <c r="G27" i="4" a="1"/>
  <c r="G27" i="4"/>
  <c r="G20" i="4" a="1"/>
  <c r="G20" i="4"/>
  <c r="G16" i="4" a="1"/>
  <c r="G104" i="4" a="1"/>
  <c r="G104" i="4"/>
  <c r="G80" i="4" a="1"/>
  <c r="G80" i="4"/>
  <c r="G66" i="4" a="1"/>
  <c r="G66" i="4"/>
  <c r="G54" i="4" a="1"/>
  <c r="G54" i="4"/>
  <c r="G45" i="4" a="1"/>
  <c r="G45" i="4"/>
  <c r="G38" i="4" a="1"/>
  <c r="G38" i="4"/>
  <c r="G30" i="4" a="1"/>
  <c r="G30" i="4"/>
  <c r="G19" i="4" a="1"/>
  <c r="G19" i="4"/>
  <c r="G15" i="4" a="1"/>
  <c r="G15" i="4"/>
  <c r="G29" i="4" a="1"/>
  <c r="G29" i="4"/>
  <c r="M23" i="1" a="1"/>
  <c r="G106" i="4" a="1"/>
  <c r="G106" i="4"/>
  <c r="G85" i="4" a="1"/>
  <c r="G85" i="4"/>
  <c r="G68" i="4" a="1"/>
  <c r="G68" i="4"/>
  <c r="G58" i="4" a="1"/>
  <c r="G58" i="4"/>
  <c r="G47" i="4" a="1"/>
  <c r="G47" i="4"/>
  <c r="G36" i="4" a="1"/>
  <c r="G36" i="4"/>
  <c r="G28" i="4" a="1"/>
  <c r="G28" i="4"/>
  <c r="G17" i="4" a="1"/>
  <c r="G83" i="4" a="1"/>
  <c r="G83" i="4"/>
  <c r="G60" i="4" a="1"/>
  <c r="G60" i="4"/>
  <c r="G52" i="4" a="1"/>
  <c r="G52" i="4"/>
  <c r="G34" i="4" a="1"/>
  <c r="G34" i="4"/>
  <c r="G23" i="4" a="1"/>
  <c r="G23" i="4"/>
  <c r="G33" i="4" a="1"/>
  <c r="G33" i="4"/>
  <c r="G18" i="4" a="1"/>
  <c r="G18" i="4"/>
  <c r="G103" i="4" a="1"/>
  <c r="G103" i="4"/>
  <c r="G86" i="4" a="1"/>
  <c r="G86" i="4"/>
  <c r="G82" i="4" a="1"/>
  <c r="G82" i="4"/>
  <c r="G70" i="4" a="1"/>
  <c r="G70" i="4"/>
  <c r="G59" i="4" a="1"/>
  <c r="G59" i="4"/>
  <c r="G53" i="4" a="1"/>
  <c r="G53" i="4"/>
  <c r="G48" i="4" a="1"/>
  <c r="G48" i="4"/>
  <c r="G44" i="4" a="1"/>
  <c r="G44" i="4"/>
  <c r="G37" i="4" a="1"/>
  <c r="G37" i="4"/>
  <c r="G22" i="4" a="1"/>
  <c r="G22" i="4"/>
  <c r="G81" i="4" a="1"/>
  <c r="G81" i="4"/>
  <c r="G69" i="4" a="1"/>
  <c r="G69" i="4"/>
  <c r="G57" i="4" a="1"/>
  <c r="G57" i="4"/>
  <c r="G43" i="4" a="1"/>
  <c r="G43" i="4"/>
  <c r="G32" i="4" a="1"/>
  <c r="G32" i="4"/>
  <c r="G21" i="4" a="1"/>
  <c r="G21" i="4"/>
  <c r="O4" i="1" a="1"/>
  <c r="O4" i="1"/>
  <c r="M4" i="1"/>
  <c r="O69" i="1"/>
  <c r="O54" i="1"/>
  <c r="O55" i="1"/>
  <c r="O63" i="1"/>
  <c r="O60" i="1"/>
  <c r="O56" i="1"/>
  <c r="O72" i="1"/>
  <c r="O61" i="1"/>
  <c r="O58" i="1"/>
  <c r="O66" i="1"/>
  <c r="O59" i="1"/>
  <c r="O67" i="1"/>
  <c r="O64" i="1"/>
  <c r="O65" i="1"/>
  <c r="O73" i="1"/>
  <c r="O62" i="1"/>
  <c r="O70" i="1"/>
  <c r="O71" i="1"/>
  <c r="O68" i="1"/>
  <c r="O57" i="1"/>
  <c r="G14" i="4"/>
  <c r="G78" i="4"/>
  <c r="M23" i="1"/>
  <c r="G17" i="4"/>
  <c r="G84" i="4"/>
  <c r="G16" i="4"/>
  <c r="S7" i="1" a="1"/>
  <c r="S7" i="1"/>
  <c r="Q7" i="1"/>
  <c r="O12" i="1" a="1"/>
  <c r="O12" i="1"/>
  <c r="M12" i="1"/>
  <c r="O6" i="1" a="1"/>
  <c r="O6" i="1"/>
  <c r="M6" i="1" a="1"/>
  <c r="M6" i="1"/>
  <c r="S5" i="1" a="1"/>
  <c r="S5" i="1"/>
  <c r="Q5" i="1"/>
  <c r="H192" i="1"/>
  <c r="H177" i="1"/>
  <c r="H163" i="1"/>
  <c r="M26" i="1"/>
  <c r="M29" i="1"/>
  <c r="H141" i="1"/>
  <c r="H127" i="1"/>
  <c r="H113" i="1"/>
  <c r="H91" i="1"/>
  <c r="H77" i="1"/>
  <c r="H63" i="1"/>
  <c r="H43" i="1"/>
  <c r="Q99" i="1"/>
  <c r="P99" i="1"/>
  <c r="P23" i="1" a="1"/>
  <c r="M84" i="1" a="1"/>
  <c r="M84" i="1"/>
  <c r="M87" i="1" a="1"/>
  <c r="M87" i="1"/>
  <c r="M90" i="1" a="1"/>
  <c r="M90" i="1"/>
  <c r="M94" i="1" a="1"/>
  <c r="M94" i="1"/>
  <c r="M98" i="1" a="1"/>
  <c r="M98" i="1"/>
  <c r="M79" i="1" a="1"/>
  <c r="M79" i="1"/>
  <c r="M91" i="1" a="1"/>
  <c r="M91" i="1"/>
  <c r="M83" i="1" a="1"/>
  <c r="M83" i="1"/>
  <c r="M96" i="1" a="1"/>
  <c r="M96" i="1"/>
  <c r="M82" i="1" a="1"/>
  <c r="M82" i="1"/>
  <c r="M95" i="1" a="1"/>
  <c r="M95" i="1"/>
  <c r="M92" i="1" a="1"/>
  <c r="M92" i="1"/>
  <c r="M81" i="1" a="1"/>
  <c r="M81" i="1"/>
  <c r="M86" i="1" a="1"/>
  <c r="M86" i="1"/>
  <c r="M89" i="1" a="1"/>
  <c r="M89" i="1"/>
  <c r="M93" i="1" a="1"/>
  <c r="M93" i="1"/>
  <c r="M97" i="1" a="1"/>
  <c r="M97" i="1"/>
  <c r="M85" i="1" a="1"/>
  <c r="M85" i="1"/>
  <c r="M80" i="1" a="1"/>
  <c r="M80" i="1"/>
  <c r="M88" i="1" a="1"/>
  <c r="M88" i="1"/>
  <c r="M27" i="1"/>
  <c r="M28" i="1"/>
  <c r="M30" i="1"/>
  <c r="M31" i="1"/>
  <c r="H28" i="1"/>
  <c r="P129" i="1"/>
  <c r="O129" i="1"/>
  <c r="P25" i="1"/>
  <c r="P36" i="1"/>
  <c r="P39" i="1"/>
  <c r="P23" i="1"/>
  <c r="P26" i="1"/>
  <c r="P31" i="1"/>
  <c r="P33" i="1"/>
  <c r="P32" i="1"/>
  <c r="P35" i="1"/>
  <c r="P38" i="1"/>
  <c r="P37" i="1"/>
  <c r="P34" i="1"/>
  <c r="P24" i="1"/>
  <c r="P27" i="1"/>
  <c r="P30" i="1"/>
  <c r="P29" i="1"/>
  <c r="P28" i="1"/>
  <c r="M103" i="1" a="1"/>
  <c r="O44" i="1" a="1"/>
  <c r="M104" i="1"/>
  <c r="M122" i="1"/>
  <c r="M121" i="1"/>
  <c r="M105" i="1"/>
  <c r="M120" i="1"/>
  <c r="M119" i="1"/>
  <c r="M118" i="1"/>
  <c r="M117" i="1"/>
  <c r="M115" i="1"/>
  <c r="M116" i="1"/>
  <c r="M111" i="1"/>
  <c r="M113" i="1"/>
  <c r="M107" i="1"/>
  <c r="M112" i="1"/>
  <c r="M103" i="1"/>
  <c r="M106" i="1"/>
  <c r="M109" i="1"/>
  <c r="M110" i="1"/>
  <c r="M108" i="1"/>
  <c r="M114" i="1"/>
  <c r="O45" i="1"/>
  <c r="O47" i="1"/>
  <c r="O50" i="1"/>
  <c r="O44" i="1"/>
  <c r="O48" i="1"/>
  <c r="O49" i="1"/>
  <c r="O46" i="1"/>
  <c r="M32" i="1"/>
  <c r="Q43" i="1"/>
</calcChain>
</file>

<file path=xl/sharedStrings.xml><?xml version="1.0" encoding="utf-8"?>
<sst xmlns="http://schemas.openxmlformats.org/spreadsheetml/2006/main" count="1977" uniqueCount="1384">
  <si>
    <t>School of Journalism and Mass Communication</t>
  </si>
  <si>
    <t>University ID:</t>
  </si>
  <si>
    <t>Name:</t>
  </si>
  <si>
    <t>Date:</t>
  </si>
  <si>
    <t>Advisor:</t>
  </si>
  <si>
    <t xml:space="preserve">Term: </t>
  </si>
  <si>
    <t>Course Number</t>
  </si>
  <si>
    <t>AP - Art</t>
  </si>
  <si>
    <t>AP - Music Lit</t>
  </si>
  <si>
    <t>AP - Humanities and Fine Arts Subtest</t>
  </si>
  <si>
    <t>The Artistic Experience area can also be fulfilled</t>
  </si>
  <si>
    <t>by combining any three of the following one credit courses:</t>
  </si>
  <si>
    <t>MUS 145, 148, 149, 150, 169-182, 185-191, 194,196, 197, 198</t>
  </si>
  <si>
    <t>Note: Courses previously designated FA 18, 74, 76, 78, 80 and 81 have changed to Thea 018, Art 074, Thea 076, Mus 078,</t>
  </si>
  <si>
    <t>Accounting</t>
  </si>
  <si>
    <t>Actuarial Science</t>
  </si>
  <si>
    <t>Air Force Aerospace Studies</t>
  </si>
  <si>
    <t>American Sign Language</t>
  </si>
  <si>
    <t>Anthropology-SCSA</t>
  </si>
  <si>
    <t>Arabic</t>
  </si>
  <si>
    <t>Art &amp; Design</t>
  </si>
  <si>
    <t>Astronomy</t>
  </si>
  <si>
    <t>Biochem Cell/Molecular Bio</t>
  </si>
  <si>
    <t>Biology</t>
  </si>
  <si>
    <t>Business Law</t>
  </si>
  <si>
    <t>Chemistry</t>
  </si>
  <si>
    <t>Chinese</t>
  </si>
  <si>
    <t>Computer Sciences</t>
  </si>
  <si>
    <t>Counselor Education</t>
  </si>
  <si>
    <t>Doctoral Core</t>
  </si>
  <si>
    <t>Economics</t>
  </si>
  <si>
    <t>Education</t>
  </si>
  <si>
    <t>Educational Leadership</t>
  </si>
  <si>
    <t>English</t>
  </si>
  <si>
    <t>Entrepreneurial Management</t>
  </si>
  <si>
    <t>Environmental Science</t>
  </si>
  <si>
    <t>Finance</t>
  </si>
  <si>
    <t>First Year Seminar</t>
  </si>
  <si>
    <t>French</t>
  </si>
  <si>
    <t>Geography -SCSG</t>
  </si>
  <si>
    <t>German</t>
  </si>
  <si>
    <t>Health Care Administration</t>
  </si>
  <si>
    <t>Health Sciences</t>
  </si>
  <si>
    <t>Histroy</t>
  </si>
  <si>
    <t>Honors</t>
  </si>
  <si>
    <t>Information Systems</t>
  </si>
  <si>
    <t>Insurance</t>
  </si>
  <si>
    <t>Interdisciplinary Course</t>
  </si>
  <si>
    <t>Japanese</t>
  </si>
  <si>
    <t>Journalism</t>
  </si>
  <si>
    <t>Law/Politics/Society</t>
  </si>
  <si>
    <t>Leadership</t>
  </si>
  <si>
    <t>Library</t>
  </si>
  <si>
    <t>Management</t>
  </si>
  <si>
    <t>Marketing</t>
  </si>
  <si>
    <t>Master Communication Leadership</t>
  </si>
  <si>
    <t>Masters Business Admin</t>
  </si>
  <si>
    <t>Masters Fin Mgmt</t>
  </si>
  <si>
    <t>Masters Leadership Development</t>
  </si>
  <si>
    <t>Masters Public Admin</t>
  </si>
  <si>
    <t>Mathematics</t>
  </si>
  <si>
    <t>Music</t>
  </si>
  <si>
    <t>Neuroscience</t>
  </si>
  <si>
    <t>Occupational Therapy Doctorate</t>
  </si>
  <si>
    <t>Pharmacy</t>
  </si>
  <si>
    <t>Philosophy</t>
  </si>
  <si>
    <t>Physics</t>
  </si>
  <si>
    <t>Politics</t>
  </si>
  <si>
    <t>Psychology</t>
  </si>
  <si>
    <t>Public Administration</t>
  </si>
  <si>
    <t>Religion</t>
  </si>
  <si>
    <t>Rhetoric, Media, Social Change</t>
  </si>
  <si>
    <t>Russian</t>
  </si>
  <si>
    <t>SciTechEngrMath</t>
  </si>
  <si>
    <t>Sociology-SCSS</t>
  </si>
  <si>
    <t>Spanish</t>
  </si>
  <si>
    <t>Special Education</t>
  </si>
  <si>
    <t>Special Studies</t>
  </si>
  <si>
    <t>Statistics</t>
  </si>
  <si>
    <t>Theatre</t>
  </si>
  <si>
    <t>Women's and Gender Studies</t>
  </si>
  <si>
    <t>World Languages &amp; Culture</t>
  </si>
  <si>
    <t>Major 2:</t>
  </si>
  <si>
    <t>Minor:</t>
  </si>
  <si>
    <t>Concentration:</t>
  </si>
  <si>
    <t>PHAR</t>
  </si>
  <si>
    <t>PHIL</t>
  </si>
  <si>
    <t>RUSS</t>
  </si>
  <si>
    <t>SPAN</t>
  </si>
  <si>
    <t>SPEC</t>
  </si>
  <si>
    <t>STAT</t>
  </si>
  <si>
    <t>THEA</t>
  </si>
  <si>
    <t>JMC</t>
  </si>
  <si>
    <t>ACCT</t>
  </si>
  <si>
    <t>ENTR</t>
  </si>
  <si>
    <t>ACTS</t>
  </si>
  <si>
    <t>ENVS</t>
  </si>
  <si>
    <t>AIRS</t>
  </si>
  <si>
    <t>ARAB</t>
  </si>
  <si>
    <t>ASTR</t>
  </si>
  <si>
    <t>CHEM</t>
  </si>
  <si>
    <t>CHIN</t>
  </si>
  <si>
    <t>COUN</t>
  </si>
  <si>
    <t>ECON</t>
  </si>
  <si>
    <t>EDUC</t>
  </si>
  <si>
    <t>FREN</t>
  </si>
  <si>
    <t>GEOG</t>
  </si>
  <si>
    <t>GERM</t>
  </si>
  <si>
    <t>HIST</t>
  </si>
  <si>
    <t>LEAD</t>
  </si>
  <si>
    <t>LIBR</t>
  </si>
  <si>
    <t>ART</t>
  </si>
  <si>
    <t>BCMB</t>
  </si>
  <si>
    <t>BIO</t>
  </si>
  <si>
    <t>BLAW</t>
  </si>
  <si>
    <t>ENG</t>
  </si>
  <si>
    <t>ENSP</t>
  </si>
  <si>
    <t>ENV</t>
  </si>
  <si>
    <t>FIN</t>
  </si>
  <si>
    <t>INS</t>
  </si>
  <si>
    <t>FYS</t>
  </si>
  <si>
    <t>LPS</t>
  </si>
  <si>
    <t>HONR</t>
  </si>
  <si>
    <t>IS</t>
  </si>
  <si>
    <t>JAPN</t>
  </si>
  <si>
    <t>MGMT</t>
  </si>
  <si>
    <t>MKTG</t>
  </si>
  <si>
    <t>MCL</t>
  </si>
  <si>
    <t>MSLD</t>
  </si>
  <si>
    <t>MPA</t>
  </si>
  <si>
    <t>MATH</t>
  </si>
  <si>
    <t>MUS</t>
  </si>
  <si>
    <t>PHY</t>
  </si>
  <si>
    <t>POLS</t>
  </si>
  <si>
    <t>PSY</t>
  </si>
  <si>
    <t>REL</t>
  </si>
  <si>
    <t>SCSS</t>
  </si>
  <si>
    <t>WLC</t>
  </si>
  <si>
    <t>ASL</t>
  </si>
  <si>
    <t>CS</t>
  </si>
  <si>
    <t>DOC</t>
  </si>
  <si>
    <t>EDL</t>
  </si>
  <si>
    <t>HLTH</t>
  </si>
  <si>
    <t>HSCI</t>
  </si>
  <si>
    <t>INTD</t>
  </si>
  <si>
    <t>MBA</t>
  </si>
  <si>
    <t>MFM</t>
  </si>
  <si>
    <t>OTD</t>
  </si>
  <si>
    <t>STEM</t>
  </si>
  <si>
    <t>WGS</t>
  </si>
  <si>
    <t>NSCI</t>
  </si>
  <si>
    <t>PADM</t>
  </si>
  <si>
    <t>SCSR</t>
  </si>
  <si>
    <t>SPED</t>
  </si>
  <si>
    <t>Course Name</t>
  </si>
  <si>
    <t>Fulfills</t>
  </si>
  <si>
    <t>JMC Core Courses</t>
  </si>
  <si>
    <t>JMC 030</t>
  </si>
  <si>
    <t>JMC 031</t>
  </si>
  <si>
    <t>JMC 040</t>
  </si>
  <si>
    <t>JMC 041</t>
  </si>
  <si>
    <t>JMC 054</t>
  </si>
  <si>
    <t>JMC 055</t>
  </si>
  <si>
    <t>JMC 059</t>
  </si>
  <si>
    <t>JMC 104</t>
  </si>
  <si>
    <t>POLS 001</t>
  </si>
  <si>
    <t>SOC Course</t>
  </si>
  <si>
    <t>Mass Media in a Global Society</t>
  </si>
  <si>
    <t>Multimedia Lab</t>
  </si>
  <si>
    <t>Pre-Professional Workshop</t>
  </si>
  <si>
    <t>Financial Fundamentals for Communication Professionals</t>
  </si>
  <si>
    <t>Reporting and Writing Principles</t>
  </si>
  <si>
    <t>Digital Media Strategies</t>
  </si>
  <si>
    <t>Introduction to Visual Communication</t>
  </si>
  <si>
    <t>Communications Laws and Ethics</t>
  </si>
  <si>
    <t>American Political System</t>
  </si>
  <si>
    <t>Sociology course elective</t>
  </si>
  <si>
    <t>Subject</t>
  </si>
  <si>
    <t>ARTS AOI</t>
  </si>
  <si>
    <t>CITZ AOI</t>
  </si>
  <si>
    <t>CRIT AOI</t>
  </si>
  <si>
    <t>FYS AOI</t>
  </si>
  <si>
    <t>GLOB AOI</t>
  </si>
  <si>
    <t>INFO AOI</t>
  </si>
  <si>
    <t>LIFE AOI</t>
  </si>
  <si>
    <t>PHSC AOI</t>
  </si>
  <si>
    <t>QUAN AOI</t>
  </si>
  <si>
    <t>VE AOI</t>
  </si>
  <si>
    <t>WRIT AOI</t>
  </si>
  <si>
    <t>CORE</t>
  </si>
  <si>
    <t>MAJOR</t>
  </si>
  <si>
    <t>MINOR</t>
  </si>
  <si>
    <t>CONCENTRATION</t>
  </si>
  <si>
    <t>NON-JMC</t>
  </si>
  <si>
    <t>A&amp;S</t>
  </si>
  <si>
    <t>UPPER-LEVEL</t>
  </si>
  <si>
    <t>FULFILLS</t>
  </si>
  <si>
    <t>CREDITS</t>
  </si>
  <si>
    <t xml:space="preserve">Total Semester Credits = </t>
  </si>
  <si>
    <t>Credits</t>
  </si>
  <si>
    <t>SOC</t>
  </si>
  <si>
    <t>ADVISORS</t>
  </si>
  <si>
    <t>Dr. Bruhn</t>
  </si>
  <si>
    <t>Professor Evans</t>
  </si>
  <si>
    <t>Professor Henry</t>
  </si>
  <si>
    <t>Professor Inman</t>
  </si>
  <si>
    <t>Professor Jolliffe</t>
  </si>
  <si>
    <t>Professor Konfrst</t>
  </si>
  <si>
    <t>Professor Pisarski</t>
  </si>
  <si>
    <t>Professor Snider</t>
  </si>
  <si>
    <t>Dr. Staub</t>
  </si>
  <si>
    <t>Dr. Thornton</t>
  </si>
  <si>
    <t>Professor Van Wyke</t>
  </si>
  <si>
    <t>Professor Wright</t>
  </si>
  <si>
    <t>HIST 1 AOI</t>
  </si>
  <si>
    <t>HIST 2 AOI</t>
  </si>
  <si>
    <t>Design</t>
  </si>
  <si>
    <t>Failure</t>
  </si>
  <si>
    <t>SCSR108</t>
  </si>
  <si>
    <t>ART 013</t>
  </si>
  <si>
    <t>ART 014</t>
  </si>
  <si>
    <t>Constructing Space</t>
  </si>
  <si>
    <t>ART 015</t>
  </si>
  <si>
    <t>Drawing I</t>
  </si>
  <si>
    <t>ART 019</t>
  </si>
  <si>
    <t>Microcosm, Macrocosm</t>
  </si>
  <si>
    <t>ART 021</t>
  </si>
  <si>
    <t>Digital Media</t>
  </si>
  <si>
    <t>ART 050</t>
  </si>
  <si>
    <t>Idea of Design</t>
  </si>
  <si>
    <t>ART 060</t>
  </si>
  <si>
    <t>Walking: Making Art Out There (occasional, summer term)</t>
  </si>
  <si>
    <t>ART 071</t>
  </si>
  <si>
    <t>Blacksmithing and the Art of Utility</t>
  </si>
  <si>
    <t>ART 074</t>
  </si>
  <si>
    <t>Intro to Art</t>
  </si>
  <si>
    <t>ART 075</t>
  </si>
  <si>
    <t>Survey of Art History I</t>
  </si>
  <si>
    <t>ART 076</t>
  </si>
  <si>
    <t>Survey of Art History II</t>
  </si>
  <si>
    <t>ART 078</t>
  </si>
  <si>
    <t>Repurpose and Recycle</t>
  </si>
  <si>
    <t>ART 079</t>
  </si>
  <si>
    <t>Sculpture I</t>
  </si>
  <si>
    <t>ART 103</t>
  </si>
  <si>
    <t>Art of India, China and Japan</t>
  </si>
  <si>
    <t>ART 104</t>
  </si>
  <si>
    <t>Christian Art</t>
  </si>
  <si>
    <t>Mapping Experience</t>
  </si>
  <si>
    <t>ART 108</t>
  </si>
  <si>
    <t>American Art History</t>
  </si>
  <si>
    <t>ART 111</t>
  </si>
  <si>
    <t>Cultural Intersections C. 1900</t>
  </si>
  <si>
    <t>ART 112</t>
  </si>
  <si>
    <t>Art/Virtual Reality</t>
  </si>
  <si>
    <t>ART 113</t>
  </si>
  <si>
    <t>Current Chinese Art &amp; Issues</t>
  </si>
  <si>
    <t>ART 118</t>
  </si>
  <si>
    <t>American Landscapes</t>
  </si>
  <si>
    <t>ART 145</t>
  </si>
  <si>
    <t>Beginning Furniture Design</t>
  </si>
  <si>
    <t>Drawing the Figure</t>
  </si>
  <si>
    <t>ART 150</t>
  </si>
  <si>
    <t>Bookbinding Workshop</t>
  </si>
  <si>
    <t>Digital Printmaking Studio</t>
  </si>
  <si>
    <t>BIO 061</t>
  </si>
  <si>
    <t>Nature Photography</t>
  </si>
  <si>
    <t>ART 070</t>
  </si>
  <si>
    <t>Art and Chemistry</t>
  </si>
  <si>
    <t xml:space="preserve">CHEM 070 </t>
  </si>
  <si>
    <t xml:space="preserve">EDUC 113 </t>
  </si>
  <si>
    <t>Arts Integration in Education</t>
  </si>
  <si>
    <t>ENG 041</t>
  </si>
  <si>
    <t>Introduction to Film Study</t>
  </si>
  <si>
    <t>JMC 058</t>
  </si>
  <si>
    <t>Into to Visual Communication for Non-Majors</t>
  </si>
  <si>
    <t>Intro to Visual Communication</t>
  </si>
  <si>
    <t>MUS 011</t>
  </si>
  <si>
    <t>Fundamentals of Music</t>
  </si>
  <si>
    <t>MUS 073</t>
  </si>
  <si>
    <t>Music Since 1900</t>
  </si>
  <si>
    <t>MUS 078</t>
  </si>
  <si>
    <t>Intro to Jazz</t>
  </si>
  <si>
    <t>MUS 080</t>
  </si>
  <si>
    <t>Music in Western Culture</t>
  </si>
  <si>
    <t>MUS 081</t>
  </si>
  <si>
    <t>World Music</t>
  </si>
  <si>
    <t>MUS 082</t>
  </si>
  <si>
    <t>World Music (for non-music majors)</t>
  </si>
  <si>
    <t>MUS 119</t>
  </si>
  <si>
    <t>Music and Politics</t>
  </si>
  <si>
    <t>MUS 160</t>
  </si>
  <si>
    <t>Kind of Blue-Miles Davis</t>
  </si>
  <si>
    <t>Suicide, Seduction, &amp; Sopranos: a Survey of the Great Operas</t>
  </si>
  <si>
    <t>Fine Arts Travel Seminar: Home of the Masters</t>
  </si>
  <si>
    <t>Music of the Movies</t>
  </si>
  <si>
    <t>PHIL 148</t>
  </si>
  <si>
    <t>Philosophy of Art</t>
  </si>
  <si>
    <t>Imaging the City</t>
  </si>
  <si>
    <t>SCSR 134</t>
  </si>
  <si>
    <t>Suburbia in Contemporary American Film</t>
  </si>
  <si>
    <t>THEA 005</t>
  </si>
  <si>
    <t>Readings in Theatre</t>
  </si>
  <si>
    <t>THEA 018</t>
  </si>
  <si>
    <t>Beginning Modern Dance</t>
  </si>
  <si>
    <t>THEA 030</t>
  </si>
  <si>
    <t>/030L Stagecraft I (Fall 2006 to present)</t>
  </si>
  <si>
    <t>THEA 032</t>
  </si>
  <si>
    <t>Stage Makeup</t>
  </si>
  <si>
    <t>THEA 074</t>
  </si>
  <si>
    <t>Contemporary Film</t>
  </si>
  <si>
    <t>THEA 076</t>
  </si>
  <si>
    <t>Intro to Theatre</t>
  </si>
  <si>
    <t>THEA 114</t>
  </si>
  <si>
    <t>Classic American Film</t>
  </si>
  <si>
    <t>THEA 120</t>
  </si>
  <si>
    <t>Theatre History to 1600</t>
  </si>
  <si>
    <t>Theatre History I</t>
  </si>
  <si>
    <t>THEA 121</t>
  </si>
  <si>
    <t>Theatre History II</t>
  </si>
  <si>
    <t>THEA 123</t>
  </si>
  <si>
    <t>American Musical Theatre</t>
  </si>
  <si>
    <t>Public Relations</t>
  </si>
  <si>
    <t>PR</t>
  </si>
  <si>
    <t>JMC 085</t>
  </si>
  <si>
    <t>PR Principles</t>
  </si>
  <si>
    <t>JMC 123</t>
  </si>
  <si>
    <t>PR Writing</t>
  </si>
  <si>
    <t>JMC 144</t>
  </si>
  <si>
    <t>Case Studies Analysis</t>
  </si>
  <si>
    <t>JMC 143</t>
  </si>
  <si>
    <t>PR Planning and Management</t>
  </si>
  <si>
    <t>JMC 136</t>
  </si>
  <si>
    <t>PR Research</t>
  </si>
  <si>
    <t>JMC 146</t>
  </si>
  <si>
    <t>PR Campaign Strategy</t>
  </si>
  <si>
    <t>ECON 002</t>
  </si>
  <si>
    <t>Principles of Microeconomics</t>
  </si>
  <si>
    <t>PSY 001</t>
  </si>
  <si>
    <t>Intro to Psychology</t>
  </si>
  <si>
    <t>MKTG 101</t>
  </si>
  <si>
    <t>Marketing Principles</t>
  </si>
  <si>
    <t>MGMT 110</t>
  </si>
  <si>
    <t>Organizational Behavior</t>
  </si>
  <si>
    <t>Advertising</t>
  </si>
  <si>
    <t>Digital Media Production</t>
  </si>
  <si>
    <t>Magazines</t>
  </si>
  <si>
    <t>News</t>
  </si>
  <si>
    <t>Strategic Political Communication</t>
  </si>
  <si>
    <t>JMC 057</t>
  </si>
  <si>
    <t>Video Production</t>
  </si>
  <si>
    <t>JMC 076</t>
  </si>
  <si>
    <t>Advertising Principles</t>
  </si>
  <si>
    <t>JMC 105</t>
  </si>
  <si>
    <t>Web Page Design</t>
  </si>
  <si>
    <t>JMC 113</t>
  </si>
  <si>
    <t>Concepts in Consumer Awareness</t>
  </si>
  <si>
    <t>JMC 124</t>
  </si>
  <si>
    <t>Copywriting and Content Design</t>
  </si>
  <si>
    <t>JMC 145</t>
  </si>
  <si>
    <t>JMC 117</t>
  </si>
  <si>
    <t>Strategic Media Planning</t>
  </si>
  <si>
    <t>JMC 139</t>
  </si>
  <si>
    <t>Advertising Account Planning</t>
  </si>
  <si>
    <t>JMC 141</t>
  </si>
  <si>
    <t>Strategic Message Design</t>
  </si>
  <si>
    <t>Introduction to Psychology</t>
  </si>
  <si>
    <t>JMC 114</t>
  </si>
  <si>
    <t>ADVG</t>
  </si>
  <si>
    <t>Advertising Campaign Strategy</t>
  </si>
  <si>
    <t>MMAG</t>
  </si>
  <si>
    <t>JMC 063</t>
  </si>
  <si>
    <t>JMC 172</t>
  </si>
  <si>
    <t>JMC 070</t>
  </si>
  <si>
    <t>JMC 091</t>
  </si>
  <si>
    <t>JMC 119</t>
  </si>
  <si>
    <t>JMC 120</t>
  </si>
  <si>
    <t>Video for Journalists</t>
  </si>
  <si>
    <t>Journalism Capstone</t>
  </si>
  <si>
    <t>Media Editing</t>
  </si>
  <si>
    <t>Magazine Staff Writing</t>
  </si>
  <si>
    <t>Magazine Publishing</t>
  </si>
  <si>
    <t>Feature Writing</t>
  </si>
  <si>
    <t>MDPR</t>
  </si>
  <si>
    <t>JMC 067</t>
  </si>
  <si>
    <t>JMC 075</t>
  </si>
  <si>
    <t>JMC 115</t>
  </si>
  <si>
    <t>JMC 116</t>
  </si>
  <si>
    <t>introduction to Video Production</t>
  </si>
  <si>
    <t>Digital Audio Production</t>
  </si>
  <si>
    <t>Photography</t>
  </si>
  <si>
    <t>Adv. Video</t>
  </si>
  <si>
    <t>Prod. TV Sports</t>
  </si>
  <si>
    <t>Documentary</t>
  </si>
  <si>
    <t>MNEW</t>
  </si>
  <si>
    <t>JMC 098</t>
  </si>
  <si>
    <t>JMC 103</t>
  </si>
  <si>
    <t>HIST 076</t>
  </si>
  <si>
    <t>Advanced Reporting</t>
  </si>
  <si>
    <t>Public Affairs Journalism Online</t>
  </si>
  <si>
    <t>American History 1877-Present</t>
  </si>
  <si>
    <t>SPC</t>
  </si>
  <si>
    <t>JMC 088</t>
  </si>
  <si>
    <t>JMC 138</t>
  </si>
  <si>
    <t>JMC 147</t>
  </si>
  <si>
    <t>SCSR 128</t>
  </si>
  <si>
    <t>POLS 113</t>
  </si>
  <si>
    <t>POLS 116</t>
  </si>
  <si>
    <t>POLS 095</t>
  </si>
  <si>
    <t>SCSS 159</t>
  </si>
  <si>
    <t>STAT 050</t>
  </si>
  <si>
    <t>JMC 099</t>
  </si>
  <si>
    <t>POLS 114</t>
  </si>
  <si>
    <t>POLS 166</t>
  </si>
  <si>
    <t>Intro. To Strategic Political Communication</t>
  </si>
  <si>
    <t>PR Planning &amp; Management</t>
  </si>
  <si>
    <t>Organizational Public Affairs</t>
  </si>
  <si>
    <t>SPC Capstone</t>
  </si>
  <si>
    <t>Argumentation &amp; Advocacy</t>
  </si>
  <si>
    <t>American Electoral Process</t>
  </si>
  <si>
    <t>Media &amp; Modern Politics</t>
  </si>
  <si>
    <t>Methods in Politics</t>
  </si>
  <si>
    <t>Public Opinion</t>
  </si>
  <si>
    <t>Comparative Political Parties</t>
  </si>
  <si>
    <t>Methods of Soc. Res.</t>
  </si>
  <si>
    <t>Statistics for Social Sciences</t>
  </si>
  <si>
    <t>Special Topics</t>
  </si>
  <si>
    <t>SCSS179:</t>
  </si>
  <si>
    <t>BUS 067</t>
  </si>
  <si>
    <t>EDUC 120</t>
  </si>
  <si>
    <t>ENSP 051</t>
  </si>
  <si>
    <t>HONR 140</t>
  </si>
  <si>
    <t>INTD 085</t>
  </si>
  <si>
    <t>LPS 135</t>
  </si>
  <si>
    <t>POLS 119</t>
  </si>
  <si>
    <t>POLS 128</t>
  </si>
  <si>
    <t>POLS 134</t>
  </si>
  <si>
    <t>POLS 173</t>
  </si>
  <si>
    <t>SCSR 055</t>
  </si>
  <si>
    <t>SCSR 073</t>
  </si>
  <si>
    <t>SCSS 071</t>
  </si>
  <si>
    <t>WLC 150</t>
  </si>
  <si>
    <t>STAT 198</t>
  </si>
  <si>
    <t>SCSS 175</t>
  </si>
  <si>
    <t>SCSS 160</t>
  </si>
  <si>
    <t>SCSS 145</t>
  </si>
  <si>
    <t>SCSS 080</t>
  </si>
  <si>
    <t>SCSS 077</t>
  </si>
  <si>
    <t>SCSS 076</t>
  </si>
  <si>
    <t>SCSS 074</t>
  </si>
  <si>
    <t>SCSR 142</t>
  </si>
  <si>
    <t>REL 120</t>
  </si>
  <si>
    <t>PSY 134</t>
  </si>
  <si>
    <t>POLS 190</t>
  </si>
  <si>
    <t>POLS 189</t>
  </si>
  <si>
    <t>POLS 186</t>
  </si>
  <si>
    <t>POLS 185</t>
  </si>
  <si>
    <t>POLS 183</t>
  </si>
  <si>
    <t>POLS 179</t>
  </si>
  <si>
    <t>POLS 176</t>
  </si>
  <si>
    <t>POLS 171</t>
  </si>
  <si>
    <t>POLS 170</t>
  </si>
  <si>
    <t>POLS 169</t>
  </si>
  <si>
    <t>POLS 168</t>
  </si>
  <si>
    <t>POLS 167</t>
  </si>
  <si>
    <t>POLS 165</t>
  </si>
  <si>
    <t>POLS 164</t>
  </si>
  <si>
    <t>POLS 163</t>
  </si>
  <si>
    <t>POLS 162</t>
  </si>
  <si>
    <t>POLS 160</t>
  </si>
  <si>
    <t>POLS 157</t>
  </si>
  <si>
    <t>POLS 156</t>
  </si>
  <si>
    <t>POLS 155</t>
  </si>
  <si>
    <t>POLS 153</t>
  </si>
  <si>
    <t>POLS 152</t>
  </si>
  <si>
    <t>POLS 151</t>
  </si>
  <si>
    <t>POLS 133</t>
  </si>
  <si>
    <t>POLS 129</t>
  </si>
  <si>
    <t>POLS 127</t>
  </si>
  <si>
    <t>POLS 126</t>
  </si>
  <si>
    <t>POLS 125</t>
  </si>
  <si>
    <t>POLS 124</t>
  </si>
  <si>
    <t>POLS 121</t>
  </si>
  <si>
    <t>POLS 120</t>
  </si>
  <si>
    <t>POLS 115</t>
  </si>
  <si>
    <t>POLS 112</t>
  </si>
  <si>
    <t>POLS 109</t>
  </si>
  <si>
    <t>POLS 051</t>
  </si>
  <si>
    <t>PHIL 151</t>
  </si>
  <si>
    <t>PHIL 124</t>
  </si>
  <si>
    <t>LPS 100</t>
  </si>
  <si>
    <t>LEAD 100</t>
  </si>
  <si>
    <t>LIB 099</t>
  </si>
  <si>
    <t>JMC 135</t>
  </si>
  <si>
    <t>JMC 066</t>
  </si>
  <si>
    <t>INTD 150</t>
  </si>
  <si>
    <t>INTD 087</t>
  </si>
  <si>
    <t>INTD 075</t>
  </si>
  <si>
    <t>HIST 186</t>
  </si>
  <si>
    <t>HIST 170</t>
  </si>
  <si>
    <t>HIST 168</t>
  </si>
  <si>
    <t>ENSP 055</t>
  </si>
  <si>
    <t>ENG 083</t>
  </si>
  <si>
    <t>EDUC 199</t>
  </si>
  <si>
    <t>EDUC 185</t>
  </si>
  <si>
    <t>EDUC 140</t>
  </si>
  <si>
    <t>ECON 120</t>
  </si>
  <si>
    <t>ECON 115</t>
  </si>
  <si>
    <t>BIO 108</t>
  </si>
  <si>
    <t>HIST 067</t>
  </si>
  <si>
    <t>Sustainable Development in Sub-Saharan Africa (summer term)</t>
  </si>
  <si>
    <t>EDUC 299</t>
  </si>
  <si>
    <t>PHSC 051</t>
  </si>
  <si>
    <t>REL 155</t>
  </si>
  <si>
    <t>HIST 146</t>
  </si>
  <si>
    <t>HONR 069</t>
  </si>
  <si>
    <t>ENSP 050</t>
  </si>
  <si>
    <t>ENSP 071</t>
  </si>
  <si>
    <t>ENG 075</t>
  </si>
  <si>
    <t>SCSS 075</t>
  </si>
  <si>
    <t>WGS 075</t>
  </si>
  <si>
    <t>ACCT 041</t>
  </si>
  <si>
    <t>Intro. Accounting I</t>
  </si>
  <si>
    <t>Cultural Intersections</t>
  </si>
  <si>
    <t>Museums</t>
  </si>
  <si>
    <t>BIO 099</t>
  </si>
  <si>
    <t>Biological Research &amp; Statistical Methods</t>
  </si>
  <si>
    <t>BLAW 060</t>
  </si>
  <si>
    <t>COUN 224</t>
  </si>
  <si>
    <t>Adolescent and Adult Assessment</t>
  </si>
  <si>
    <t>CS 010</t>
  </si>
  <si>
    <t>Preview of Computer Science</t>
  </si>
  <si>
    <t>CS 065</t>
  </si>
  <si>
    <t>Introduction to Computer Science</t>
  </si>
  <si>
    <t>STEM 174</t>
  </si>
  <si>
    <t>Perspectives on Education from Finland</t>
  </si>
  <si>
    <t>EDUC 174</t>
  </si>
  <si>
    <t>Inquiry and the Natures of Science, Technology and Engineering</t>
  </si>
  <si>
    <t>ENG 030</t>
  </si>
  <si>
    <t>Genre: The Documentary</t>
  </si>
  <si>
    <t>ENG 038</t>
  </si>
  <si>
    <t>Literary Study</t>
  </si>
  <si>
    <t>ENG 039</t>
  </si>
  <si>
    <t>Writing Seminar</t>
  </si>
  <si>
    <t>ENG 081</t>
  </si>
  <si>
    <t>Intro to English Linguistics</t>
  </si>
  <si>
    <t>ENG 102</t>
  </si>
  <si>
    <t>Structure of Modern American English</t>
  </si>
  <si>
    <t>ENG 171</t>
  </si>
  <si>
    <t>Teaching Writing: Theory and Practice</t>
  </si>
  <si>
    <t>ENG 173</t>
  </si>
  <si>
    <t>Critical Theory</t>
  </si>
  <si>
    <t>ENG 174</t>
  </si>
  <si>
    <t>Theories of Language and Discourse</t>
  </si>
  <si>
    <t>JMC 130</t>
  </si>
  <si>
    <t>Advertising Research</t>
  </si>
  <si>
    <t>Crime &amp; Film</t>
  </si>
  <si>
    <t>Structure of Math for Elem. Ed</t>
  </si>
  <si>
    <t>MATH 101</t>
  </si>
  <si>
    <t>Mathematical Reasoning</t>
  </si>
  <si>
    <t>MATH025</t>
  </si>
  <si>
    <t>MUS 053</t>
  </si>
  <si>
    <t>Materials of Music IV</t>
  </si>
  <si>
    <t>PATH 100</t>
  </si>
  <si>
    <t>Paths to Knowledge</t>
  </si>
  <si>
    <t>PHAR 169</t>
  </si>
  <si>
    <t>Non-Prescriptions Medications</t>
  </si>
  <si>
    <t>PHAR 172</t>
  </si>
  <si>
    <t>Basic Quantitative Methods</t>
  </si>
  <si>
    <t>PHAR 173</t>
  </si>
  <si>
    <t>Applied Quantitative Methods for Pharmaceutical Care</t>
  </si>
  <si>
    <t>PHIL 021</t>
  </si>
  <si>
    <t>Introduction to Philosophy</t>
  </si>
  <si>
    <t>PHIL 051</t>
  </si>
  <si>
    <t>Logic and Critical Thinking</t>
  </si>
  <si>
    <t>PHIL 090</t>
  </si>
  <si>
    <t>Ethics</t>
  </si>
  <si>
    <t>PHIL 100</t>
  </si>
  <si>
    <t>PHIL 104</t>
  </si>
  <si>
    <t>Philosophic Classics: The Ancient Period</t>
  </si>
  <si>
    <t>PHIL 106</t>
  </si>
  <si>
    <t>Philosophic Classics: The Modern Period</t>
  </si>
  <si>
    <t>PHIL 107</t>
  </si>
  <si>
    <t>Philosophic Classics: The Contemporary Period</t>
  </si>
  <si>
    <t>PHIL 118</t>
  </si>
  <si>
    <t>Feminist Ethics</t>
  </si>
  <si>
    <t>Health and Social Justice</t>
  </si>
  <si>
    <t>PHIL 137</t>
  </si>
  <si>
    <t>Rights and Responsibilities</t>
  </si>
  <si>
    <t>PHIL 138</t>
  </si>
  <si>
    <t>PHYS 050</t>
  </si>
  <si>
    <t>POLS 135</t>
  </si>
  <si>
    <t>POLS 180</t>
  </si>
  <si>
    <t>Ancient &amp; Modern Political Theory</t>
  </si>
  <si>
    <t>POLS 181</t>
  </si>
  <si>
    <t>Modern Political Theory</t>
  </si>
  <si>
    <t>RHET 100</t>
  </si>
  <si>
    <t>Philosophies of Dialogue and the Interpersonal</t>
  </si>
  <si>
    <t>HONR 075</t>
  </si>
  <si>
    <t>Islam in the 21st Century</t>
  </si>
  <si>
    <t>Modern Physics</t>
  </si>
  <si>
    <t>PSY 010</t>
  </si>
  <si>
    <t>Research Methods</t>
  </si>
  <si>
    <t>PSY 015</t>
  </si>
  <si>
    <t>Statistical &amp; Research Methods</t>
  </si>
  <si>
    <t>PSY 024</t>
  </si>
  <si>
    <t>PSY 030</t>
  </si>
  <si>
    <t>Social Psychology</t>
  </si>
  <si>
    <t>BIO 025</t>
  </si>
  <si>
    <t>Animal Behavior</t>
  </si>
  <si>
    <t>SCSA 156</t>
  </si>
  <si>
    <t>Ethnographic Methods (previously Anthropology 156)</t>
  </si>
  <si>
    <t>Public Speaking (previously Rhetoric 073)</t>
  </si>
  <si>
    <t>Argumentation and Advocacy</t>
  </si>
  <si>
    <t>SCSS 133</t>
  </si>
  <si>
    <t>Sociological Theory</t>
  </si>
  <si>
    <t>SCSS 135</t>
  </si>
  <si>
    <t>Technoscience Culture and Practice</t>
  </si>
  <si>
    <t>SCSS 151</t>
  </si>
  <si>
    <t>Science, Cyborgs, &amp; Monsters: Thinking Knowledge Projects for the New Millennium</t>
  </si>
  <si>
    <t>SCSS 158</t>
  </si>
  <si>
    <t>Social Science Statistics (jpreviously Sociology 158)</t>
  </si>
  <si>
    <t>Methods of Social Research (previously Sociology 159)</t>
  </si>
  <si>
    <t>SCSS 196</t>
  </si>
  <si>
    <t>STAT 060</t>
  </si>
  <si>
    <t>Statistics for Pharmacy</t>
  </si>
  <si>
    <t>STAT 072</t>
  </si>
  <si>
    <t>Statistics II</t>
  </si>
  <si>
    <t>PSY 194</t>
  </si>
  <si>
    <t>The "Middle Kingdom" in a Global World: Considerin gFamily, Self, and Nation in a Changing China</t>
  </si>
  <si>
    <t>The "Middle Kingdom" in a Global World: Considering Family, Self, and Nation in a Changing China</t>
  </si>
  <si>
    <t>Sustainable Development</t>
  </si>
  <si>
    <t>Global Issues in Inclusive Education and the Role of Service-Learning</t>
  </si>
  <si>
    <t>Energy and the Environment</t>
  </si>
  <si>
    <t>Liberation and Feminist Theologies</t>
  </si>
  <si>
    <t>From Cradle to College, Breastmily to Beer: The Law, Politics and Social Responsibility</t>
  </si>
  <si>
    <t>History, Politics, and Society of Modern Egypt</t>
  </si>
  <si>
    <t>Environmental Movements</t>
  </si>
  <si>
    <t>Introduction to Women's Studies</t>
  </si>
  <si>
    <t>Emerging Infectious Diseases</t>
  </si>
  <si>
    <t>EDUC 220</t>
  </si>
  <si>
    <t>ESL Strategies</t>
  </si>
  <si>
    <t>Regulation &amp; Antitrust Policy</t>
  </si>
  <si>
    <t>Speech and the Classroom Teacher</t>
  </si>
  <si>
    <t>Ethical Tensions in Global Urbanization</t>
  </si>
  <si>
    <t>Education Opportunities for Children in a Developing Country</t>
  </si>
  <si>
    <t>Global Engagement: Service Learning in Belize </t>
  </si>
  <si>
    <t>English in America: Language, the Citizen and National Identity</t>
  </si>
  <si>
    <t>Species Conservation and Economic Development</t>
  </si>
  <si>
    <t>Poverty, Development, and the Environment</t>
  </si>
  <si>
    <t>Tropical Ecology</t>
  </si>
  <si>
    <t>U.S. Interventionism</t>
  </si>
  <si>
    <t>The United States and Vietnam, 1945-1975: War, Dissent, and American Society</t>
  </si>
  <si>
    <t>Urban Environmental History</t>
  </si>
  <si>
    <t>Community Dialogue and Development</t>
  </si>
  <si>
    <t>Developing Democracy: Critical Issues in Creating Democratic Engagement</t>
  </si>
  <si>
    <t>Explorations of Urban Poverty in Des Moines and New York</t>
  </si>
  <si>
    <t>Disease, Dialogue, and Democracy</t>
  </si>
  <si>
    <t>Leading With Emotional Intelligence</t>
  </si>
  <si>
    <t>Media Responsibility Over Time</t>
  </si>
  <si>
    <t>Public Relations Principles</t>
  </si>
  <si>
    <t>Copyright Issues in the United States</t>
  </si>
  <si>
    <t>Influence and Change</t>
  </si>
  <si>
    <t>Law and Social Change</t>
  </si>
  <si>
    <t>From Cradle to College, Breastmilk to Beer: The Law, Politics, and Social Responsibility of What you Drink</t>
  </si>
  <si>
    <t>Contemporary American Indian Law and Politics</t>
  </si>
  <si>
    <t>Intergroup Dialogue on Race and Ethnicity</t>
  </si>
  <si>
    <t>LPS 138</t>
  </si>
  <si>
    <t>Reproductive Law and Politics in the U.S.: Dissent and the Possibility of Dialogue</t>
  </si>
  <si>
    <t>Science, Values, and Democracy (topic specific)</t>
  </si>
  <si>
    <t>U.S. Presidential Elections: What to Expect When You are Electing</t>
  </si>
  <si>
    <t>Topics in International Relations</t>
  </si>
  <si>
    <t>Oil, Butter and Guns: Energy Security in the Asia-Pacific</t>
  </si>
  <si>
    <t>Arab-Israeli Conflict</t>
  </si>
  <si>
    <t>Women in Politics</t>
  </si>
  <si>
    <t>The American Electoral Process</t>
  </si>
  <si>
    <t>President Nomination Process</t>
  </si>
  <si>
    <t>Media and Modern Politics</t>
  </si>
  <si>
    <t>Topics in American Government and Politics</t>
  </si>
  <si>
    <t>From Cradle to College, Breastmilk to Beer: The Law, Politics, and Social Responsibility</t>
  </si>
  <si>
    <t>Public Health in Botswana (a Summer Travel Course)</t>
  </si>
  <si>
    <t>The United Nations and Global Security</t>
  </si>
  <si>
    <t>Revisiting the Vietnam War</t>
  </si>
  <si>
    <t>Peacebuilding and Post-Conflict Justice</t>
  </si>
  <si>
    <t>Grassroots Globalism</t>
  </si>
  <si>
    <t>Global Public Health and World Politics</t>
  </si>
  <si>
    <t>Nationalism and Politics in Eastern Europe</t>
  </si>
  <si>
    <t>Transitions to Democracy</t>
  </si>
  <si>
    <t>The Middle East Through Films</t>
  </si>
  <si>
    <t>The American Presidency</t>
  </si>
  <si>
    <t>Congress and the Legislative Process</t>
  </si>
  <si>
    <t>Judicial Politics</t>
  </si>
  <si>
    <t>American Public Policy</t>
  </si>
  <si>
    <t>Environmental Politics and Policy</t>
  </si>
  <si>
    <t>Crime Politics and Policy in the US</t>
  </si>
  <si>
    <t>Modern European Political Systems</t>
  </si>
  <si>
    <t>Contemporary Asian Politics</t>
  </si>
  <si>
    <t>The Government and Politics of Japan</t>
  </si>
  <si>
    <t>Government &amp; Politics in Latin America</t>
  </si>
  <si>
    <t>Government &amp; Politics of Developing Nations</t>
  </si>
  <si>
    <t>Comparative Political Parties and Interest Groups</t>
  </si>
  <si>
    <t>Supreme Courts and Elections</t>
  </si>
  <si>
    <t>Politics and Parliaments</t>
  </si>
  <si>
    <t>Comparative Law and Courts</t>
  </si>
  <si>
    <t>International Law</t>
  </si>
  <si>
    <t>Political Integration of Europe</t>
  </si>
  <si>
    <t>Human Rights and World Politics</t>
  </si>
  <si>
    <t>Gender and World Politics</t>
  </si>
  <si>
    <t>American Foreign Policy</t>
  </si>
  <si>
    <t>American Liberalism and Conservatism</t>
  </si>
  <si>
    <t>American Political Theory</t>
  </si>
  <si>
    <t>Politics and Religion</t>
  </si>
  <si>
    <t>Topics in Political Theory</t>
  </si>
  <si>
    <t>Seminar in Constitutional Law</t>
  </si>
  <si>
    <t>Ethnopolitical Conflict and Peacemaking</t>
  </si>
  <si>
    <t>Black Christianity and Prophetic Politics</t>
  </si>
  <si>
    <t>Rhetoric and Politics</t>
  </si>
  <si>
    <t>Debating Marriage in the Contemporary United States</t>
  </si>
  <si>
    <t>Environmental Communication</t>
  </si>
  <si>
    <t>Public Speaking</t>
  </si>
  <si>
    <t>Making Families Public</t>
  </si>
  <si>
    <t>Art of the Interview</t>
  </si>
  <si>
    <t>Social Problems</t>
  </si>
  <si>
    <t>Food and Society</t>
  </si>
  <si>
    <t>Social Stratification</t>
  </si>
  <si>
    <t>Sociology of Education</t>
  </si>
  <si>
    <t>Using Statistics to Shape Health Policy</t>
  </si>
  <si>
    <t>Jobs, Organizations and Inequality</t>
  </si>
  <si>
    <t>Learning about Immigrants</t>
  </si>
  <si>
    <t>AP - French Lit</t>
  </si>
  <si>
    <t>AP - German Lit</t>
  </si>
  <si>
    <t>AP - Spanish Lit</t>
  </si>
  <si>
    <t>IB - European History Higher Level</t>
  </si>
  <si>
    <t>IB - European History Subsidiary</t>
  </si>
  <si>
    <t>IB - Geography Higher Level</t>
  </si>
  <si>
    <t>IB - Geography Subsidiary</t>
  </si>
  <si>
    <t>Chinese Philosophy to Contemporary Art</t>
  </si>
  <si>
    <t>HONR 112</t>
  </si>
  <si>
    <t>COUN 245</t>
  </si>
  <si>
    <t>Understanding Diverse Populations</t>
  </si>
  <si>
    <t>MSLD 252</t>
  </si>
  <si>
    <t>Global and Team Leadership</t>
  </si>
  <si>
    <t>Service-Learning in the Cultural Context of South Africa</t>
  </si>
  <si>
    <t>WS 111</t>
  </si>
  <si>
    <t>Lation/a Studies</t>
  </si>
  <si>
    <t>ACTS 198</t>
  </si>
  <si>
    <t>Families, Lifestyles, and the Annuity Tables</t>
  </si>
  <si>
    <t>REL 103</t>
  </si>
  <si>
    <t>Philosophy and Religion in China</t>
  </si>
  <si>
    <t>REL 121</t>
  </si>
  <si>
    <t>Comparative Religion</t>
  </si>
  <si>
    <t>WS 175</t>
  </si>
  <si>
    <t>Feminist Anthropology (previously Anthropology 101)</t>
  </si>
  <si>
    <t>LEAD 120</t>
  </si>
  <si>
    <t>Many Women, Many Leaders</t>
  </si>
  <si>
    <t>ARAB 002</t>
  </si>
  <si>
    <t>Beginning Arabic II (effective Spring 2011)</t>
  </si>
  <si>
    <t>ARAB 052</t>
  </si>
  <si>
    <t>Intermediate Arabic II (effective Spring 2011)</t>
  </si>
  <si>
    <t>Current Chinese Art and Issues</t>
  </si>
  <si>
    <t>BIO 092</t>
  </si>
  <si>
    <t>Ethnobotony</t>
  </si>
  <si>
    <t>BIO 111</t>
  </si>
  <si>
    <t>Evolved Foodways</t>
  </si>
  <si>
    <t>Sustainable Development in Sub-Saharan Africa</t>
  </si>
  <si>
    <t>BUS 070</t>
  </si>
  <si>
    <t>International Business</t>
  </si>
  <si>
    <t>BUS 098</t>
  </si>
  <si>
    <t>Italy in the Global Economy</t>
  </si>
  <si>
    <t>CHIN 002</t>
  </si>
  <si>
    <t>Beginning Chinese II (effective Spring 2011)</t>
  </si>
  <si>
    <t>CHIN 052</t>
  </si>
  <si>
    <t>Intermediate Chinese II (effective Spring 2011)</t>
  </si>
  <si>
    <t>COUN 145</t>
  </si>
  <si>
    <t>ECON 135</t>
  </si>
  <si>
    <t>Developing Economies</t>
  </si>
  <si>
    <t>EDUC 164</t>
  </si>
  <si>
    <t>Perspectives on Race, Ethnicity and Gender</t>
  </si>
  <si>
    <t>Cyprus: Centuries of Globalization</t>
  </si>
  <si>
    <t>Service-learning in the Cultural Context of South Africa</t>
  </si>
  <si>
    <t>ENG 020</t>
  </si>
  <si>
    <t>Literature and Culture</t>
  </si>
  <si>
    <t>ENG 066</t>
  </si>
  <si>
    <t>Reading Race and Ethnicity</t>
  </si>
  <si>
    <t>ENG 123</t>
  </si>
  <si>
    <t>Advanced Topics: Northern England and Scotland</t>
  </si>
  <si>
    <t>ENG 130</t>
  </si>
  <si>
    <t>Studies in Literary Genre: Murder, mystery, and the Gothic in England (J-Term Only)</t>
  </si>
  <si>
    <t>ENG 158</t>
  </si>
  <si>
    <t>Literature of South Africa</t>
  </si>
  <si>
    <t>ENG 163</t>
  </si>
  <si>
    <t>Transcultural Literature</t>
  </si>
  <si>
    <t>ENG 164</t>
  </si>
  <si>
    <t>Latino/A Literature</t>
  </si>
  <si>
    <t>ENG 165</t>
  </si>
  <si>
    <t>Postcolonial Literature</t>
  </si>
  <si>
    <t>ENSP 111</t>
  </si>
  <si>
    <t>International Environmental Seminar</t>
  </si>
  <si>
    <t>FREN 002</t>
  </si>
  <si>
    <t>Beginning French II (effective Spring 2011)</t>
  </si>
  <si>
    <t>FREN 052</t>
  </si>
  <si>
    <t>Intermediate French II (effective Spring 2011)</t>
  </si>
  <si>
    <t>FREN 151</t>
  </si>
  <si>
    <t>National Identity in a Transnational Age</t>
  </si>
  <si>
    <t>FREN 152</t>
  </si>
  <si>
    <t>French Film</t>
  </si>
  <si>
    <t>FREN 160</t>
  </si>
  <si>
    <t>French Language and Literature</t>
  </si>
  <si>
    <t>GERM 002</t>
  </si>
  <si>
    <t>Beginning German II (effective Spring 2011)</t>
  </si>
  <si>
    <t>GERM 052</t>
  </si>
  <si>
    <t>Intermediate German II (effective Spring 2011)</t>
  </si>
  <si>
    <t>GERM 151</t>
  </si>
  <si>
    <t>GERM 152</t>
  </si>
  <si>
    <t>German Film</t>
  </si>
  <si>
    <t>GERM 160</t>
  </si>
  <si>
    <t>German Language and Literature</t>
  </si>
  <si>
    <t>HIST 021</t>
  </si>
  <si>
    <t>East Asian History to 1600</t>
  </si>
  <si>
    <t>HIST 022</t>
  </si>
  <si>
    <t>East Asian History Since 1600</t>
  </si>
  <si>
    <t>HIST 041</t>
  </si>
  <si>
    <t>Ancient Greece</t>
  </si>
  <si>
    <t>HIST 042</t>
  </si>
  <si>
    <t>Ancient Rome</t>
  </si>
  <si>
    <t>HIST 060</t>
  </si>
  <si>
    <t>Africa in World History</t>
  </si>
  <si>
    <t>HIST 061</t>
  </si>
  <si>
    <t>The Rise &amp; Demise of Colonialism in Africa</t>
  </si>
  <si>
    <t>HIST 099</t>
  </si>
  <si>
    <t>Women in European History</t>
  </si>
  <si>
    <t>HIST 115</t>
  </si>
  <si>
    <t>From Contact to Removal: American Indian History, 1492-1840</t>
  </si>
  <si>
    <t>HIST 123</t>
  </si>
  <si>
    <t>Modern Mexico</t>
  </si>
  <si>
    <t>HIST 124</t>
  </si>
  <si>
    <t>Aztecs, Incas, Mayas</t>
  </si>
  <si>
    <t>HIST 125</t>
  </si>
  <si>
    <t>Colonial Latin America</t>
  </si>
  <si>
    <t>HIST 126</t>
  </si>
  <si>
    <t>Modern Latin America</t>
  </si>
  <si>
    <t>HIST 129</t>
  </si>
  <si>
    <t>Modern China</t>
  </si>
  <si>
    <t>HIST 128</t>
  </si>
  <si>
    <t>Revolutions in 20th Century Asia</t>
  </si>
  <si>
    <t>HIST 133</t>
  </si>
  <si>
    <t>Nineteenth-Century Europe</t>
  </si>
  <si>
    <t>HIST 134</t>
  </si>
  <si>
    <t>Contemporary Europe</t>
  </si>
  <si>
    <t>HIST 135</t>
  </si>
  <si>
    <t>History of Imperial Russia</t>
  </si>
  <si>
    <t>HIST 136</t>
  </si>
  <si>
    <t>Old Regime French Revolution</t>
  </si>
  <si>
    <t>HIST 137</t>
  </si>
  <si>
    <t>France Since 1799</t>
  </si>
  <si>
    <t>HIST 138</t>
  </si>
  <si>
    <t>History of the Soviet Union</t>
  </si>
  <si>
    <t>HIST 152</t>
  </si>
  <si>
    <t>European Enlightenment</t>
  </si>
  <si>
    <t>HIST 153</t>
  </si>
  <si>
    <t>Chinese Communist Revolution</t>
  </si>
  <si>
    <t>HIST 157</t>
  </si>
  <si>
    <t>Sex &amp; Power in Peasant Societies</t>
  </si>
  <si>
    <t>HIST 159</t>
  </si>
  <si>
    <t>American Women's History to 1850</t>
  </si>
  <si>
    <t>HIST 161</t>
  </si>
  <si>
    <t>Africa, Africans &amp; Atlantic Slavery</t>
  </si>
  <si>
    <t>HIST 166</t>
  </si>
  <si>
    <t>The Woman Intellectual in the West</t>
  </si>
  <si>
    <t>HIST 176</t>
  </si>
  <si>
    <t>Nationalism in Modern European History</t>
  </si>
  <si>
    <t>HSCI 147</t>
  </si>
  <si>
    <t>International Health Topics</t>
  </si>
  <si>
    <t>INTD 040</t>
  </si>
  <si>
    <t>Introduction to American Culture</t>
  </si>
  <si>
    <t>Developing Democracy</t>
  </si>
  <si>
    <t>JAPN 002</t>
  </si>
  <si>
    <t>Beginning Japanese II (effective Spring 2011)</t>
  </si>
  <si>
    <t>JAPN 052</t>
  </si>
  <si>
    <t>Intermediate Japanese II (effective Spring 2011)</t>
  </si>
  <si>
    <t>JMC 133</t>
  </si>
  <si>
    <t>International Advertising Study Seminar</t>
  </si>
  <si>
    <t>JMC 199</t>
  </si>
  <si>
    <t>Families, Lifestyles and the Annuity Tables</t>
  </si>
  <si>
    <t>LEAD 110</t>
  </si>
  <si>
    <t>Leadership at Sea</t>
  </si>
  <si>
    <t>MKTG 170</t>
  </si>
  <si>
    <t>Global Marketing</t>
  </si>
  <si>
    <t>PHIL 103</t>
  </si>
  <si>
    <t>PHIL 121</t>
  </si>
  <si>
    <t>POLS 065</t>
  </si>
  <si>
    <t>Comparative Politics</t>
  </si>
  <si>
    <t>POLS 075</t>
  </si>
  <si>
    <t>World Politics</t>
  </si>
  <si>
    <t>Globalization</t>
  </si>
  <si>
    <t>The United Nations and Global Society</t>
  </si>
  <si>
    <t>Nationalism/Politics Eastern Europe</t>
  </si>
  <si>
    <t>POLS131:</t>
  </si>
  <si>
    <t>Searching for the Chinese Dream</t>
  </si>
  <si>
    <t>Government and Politics in Latin America</t>
  </si>
  <si>
    <t>Government and Politics of Developing Nations</t>
  </si>
  <si>
    <t>European Integration</t>
  </si>
  <si>
    <t>REL 003</t>
  </si>
  <si>
    <t>Introduction to World Religions</t>
  </si>
  <si>
    <t>REL 005</t>
  </si>
  <si>
    <t>Introduction to Buddhism</t>
  </si>
  <si>
    <t>REL 062</t>
  </si>
  <si>
    <t>Religions of India</t>
  </si>
  <si>
    <t>REL 111</t>
  </si>
  <si>
    <t>Religions of Des Moines</t>
  </si>
  <si>
    <t>REL 118</t>
  </si>
  <si>
    <t>Race, Religion and Civic Culture</t>
  </si>
  <si>
    <t>REL 130</t>
  </si>
  <si>
    <t>The Global Bible</t>
  </si>
  <si>
    <t>REL 151</t>
  </si>
  <si>
    <t>Cultural Diversity in Israel and Palestine</t>
  </si>
  <si>
    <t>RUSS 002</t>
  </si>
  <si>
    <t>Beginning Russian II (effective Spring 2011)</t>
  </si>
  <si>
    <t>RUSS 052</t>
  </si>
  <si>
    <t>Intermediate Russian II (effective Spring 2011)</t>
  </si>
  <si>
    <t>SCSA 002</t>
  </si>
  <si>
    <t>Intro to Cultural Anthropology (previously Anthropology 002)</t>
  </si>
  <si>
    <t>SCSA 093</t>
  </si>
  <si>
    <t>Representing Cultural Difference (previously Anthropology 093)</t>
  </si>
  <si>
    <t>SCSA 101</t>
  </si>
  <si>
    <t>SCSA 117</t>
  </si>
  <si>
    <t>Native America (previously Anthropology 117)</t>
  </si>
  <si>
    <t>SCSA 196</t>
  </si>
  <si>
    <t>Social Life and Social Space in Spain</t>
  </si>
  <si>
    <t>SCSG 002</t>
  </si>
  <si>
    <t>Human Geography (previously Geography 002)</t>
  </si>
  <si>
    <t>SCSG 003</t>
  </si>
  <si>
    <t>World Regional Geography (previously Geography 003)</t>
  </si>
  <si>
    <t>SCSG 122</t>
  </si>
  <si>
    <t>Cultural Geography (previously Geography 122)</t>
  </si>
  <si>
    <t>SCSG 132</t>
  </si>
  <si>
    <t>Europe (previously Geography 132)</t>
  </si>
  <si>
    <t>SCSG 134</t>
  </si>
  <si>
    <t>Africa (previously Geography 134)</t>
  </si>
  <si>
    <t>SCSG 135</t>
  </si>
  <si>
    <t>Asia (previously Geography 135)</t>
  </si>
  <si>
    <t>SCSG 176</t>
  </si>
  <si>
    <t>South Asia (previously Geography 176)</t>
  </si>
  <si>
    <t>SCSR 079</t>
  </si>
  <si>
    <t>Home: Dwelling and Belonging</t>
  </si>
  <si>
    <t>SCSR 114</t>
  </si>
  <si>
    <t>Rhetoric of Race (previously Rhetoric 114)</t>
  </si>
  <si>
    <t>SCSS 020</t>
  </si>
  <si>
    <t>Introduction to Race and Ethnicity</t>
  </si>
  <si>
    <t>SCSS 072</t>
  </si>
  <si>
    <t>Global Social Change</t>
  </si>
  <si>
    <t>SCSS 130</t>
  </si>
  <si>
    <t>Contemporary Chinese Society (previously Sociology 130)</t>
  </si>
  <si>
    <t>SCSS 138</t>
  </si>
  <si>
    <t>Global Reproductive Politics</t>
  </si>
  <si>
    <t>SCSS 161</t>
  </si>
  <si>
    <t>Sociology of Race and Ethnicity (previously Sociology 161)</t>
  </si>
  <si>
    <t>SCSS 167</t>
  </si>
  <si>
    <t>Sociology of the African-American Experience (previously Soc 167)</t>
  </si>
  <si>
    <t>SCSS 173</t>
  </si>
  <si>
    <t>Global Citizenship</t>
  </si>
  <si>
    <t>SPAN 002</t>
  </si>
  <si>
    <t>Beginning Spanish II(effective Spring 2011)</t>
  </si>
  <si>
    <t>SPAN 052</t>
  </si>
  <si>
    <t>Intermediate Spanish II (effective Spring 2011)</t>
  </si>
  <si>
    <t>SPAN 151</t>
  </si>
  <si>
    <t>SPAN 152</t>
  </si>
  <si>
    <t>Spanish Film</t>
  </si>
  <si>
    <t>SPAN 160</t>
  </si>
  <si>
    <t>Spanish Language and Literature</t>
  </si>
  <si>
    <t>WGS 146</t>
  </si>
  <si>
    <t>WLC 002</t>
  </si>
  <si>
    <t>WLC 070</t>
  </si>
  <si>
    <t>American Sign Language: Deaf Culture</t>
  </si>
  <si>
    <t>WLC 148</t>
  </si>
  <si>
    <t>Intercultural Communication(formerly DILS 148)</t>
  </si>
  <si>
    <t>WS 001</t>
  </si>
  <si>
    <t>Intro to Women's Studies</t>
  </si>
  <si>
    <t>AP - American History</t>
  </si>
  <si>
    <t>AP - European History</t>
  </si>
  <si>
    <t>IB - American History Higher Level</t>
  </si>
  <si>
    <t>IB - American History Subsidiary</t>
  </si>
  <si>
    <t>MATH 195</t>
  </si>
  <si>
    <t>Risky Business</t>
  </si>
  <si>
    <t>Counseling Diverse Populations</t>
  </si>
  <si>
    <t>WS 130</t>
  </si>
  <si>
    <t>Art of India,  and Japan</t>
  </si>
  <si>
    <t>ART 105</t>
  </si>
  <si>
    <t>Italian Renaissance</t>
  </si>
  <si>
    <t>ART 106</t>
  </si>
  <si>
    <t>17th and 18th Century Art</t>
  </si>
  <si>
    <t>ART 107</t>
  </si>
  <si>
    <t>19th Century Art</t>
  </si>
  <si>
    <t>ART 109</t>
  </si>
  <si>
    <t>Modern Art History</t>
  </si>
  <si>
    <t>ART 110</t>
  </si>
  <si>
    <t>Art Since 1945</t>
  </si>
  <si>
    <t>Selected Topics</t>
  </si>
  <si>
    <t>COUN145</t>
  </si>
  <si>
    <t>ENG 063</t>
  </si>
  <si>
    <t>American Writing Since 1960</t>
  </si>
  <si>
    <t>ENG 104</t>
  </si>
  <si>
    <t>History of the English Language</t>
  </si>
  <si>
    <t>ENG 124</t>
  </si>
  <si>
    <t>Emergence of Mass Culture</t>
  </si>
  <si>
    <t>ENG 146</t>
  </si>
  <si>
    <t>19th Century British Lit</t>
  </si>
  <si>
    <t>ENG 147</t>
  </si>
  <si>
    <t>Twentieth Century British Literature</t>
  </si>
  <si>
    <t>ENG 151</t>
  </si>
  <si>
    <t>Colonial American Literature: Salem Witch Trials</t>
  </si>
  <si>
    <t>ENG 152</t>
  </si>
  <si>
    <t>19th Century American Literature</t>
  </si>
  <si>
    <t>ENG 155</t>
  </si>
  <si>
    <t>20th Century American Literature</t>
  </si>
  <si>
    <t>ENG 166</t>
  </si>
  <si>
    <t>Literature of War</t>
  </si>
  <si>
    <t>HIST 001</t>
  </si>
  <si>
    <t>Passages to the Modern World, 1500-1750</t>
  </si>
  <si>
    <t>HIST 002</t>
  </si>
  <si>
    <t>Passages to the Modern World, 1750 to Present</t>
  </si>
  <si>
    <t>East Asian History since 1600</t>
  </si>
  <si>
    <t>The Rise and Demise of Colonialism in Africa</t>
  </si>
  <si>
    <t>HIST 075</t>
  </si>
  <si>
    <t>US History to 1877</t>
  </si>
  <si>
    <t>US History 1877 to Present</t>
  </si>
  <si>
    <t>HIST 113</t>
  </si>
  <si>
    <t>America as a World Power</t>
  </si>
  <si>
    <t>HIST 114</t>
  </si>
  <si>
    <t>The US from 1933 to Present</t>
  </si>
  <si>
    <t>Aztecs, Incas and Mayas</t>
  </si>
  <si>
    <t>Nineteenth Century Europe</t>
  </si>
  <si>
    <t>The Old Regime and the French Revolution</t>
  </si>
  <si>
    <t>France since 1799</t>
  </si>
  <si>
    <t>HIST 151</t>
  </si>
  <si>
    <t>Culture and History: American from the Depression to the McCarthy Era</t>
  </si>
  <si>
    <t>HIST 155</t>
  </si>
  <si>
    <t>Introduction to Marxism</t>
  </si>
  <si>
    <t>Sex and Power in Peasant Societies</t>
  </si>
  <si>
    <t>Africa, Africans and Atlantic Slavery</t>
  </si>
  <si>
    <t>The Women Intellectual in the West</t>
  </si>
  <si>
    <t>HIST 169</t>
  </si>
  <si>
    <t>The US and the Origins of the Cold War</t>
  </si>
  <si>
    <t>HIST 172</t>
  </si>
  <si>
    <t>Women and Gender in Early America</t>
  </si>
  <si>
    <t>HIST 173</t>
  </si>
  <si>
    <t>Women and Gender in Modern America</t>
  </si>
  <si>
    <t>HIST 174</t>
  </si>
  <si>
    <t>Civil War and Reconstruction</t>
  </si>
  <si>
    <t>HIST 175</t>
  </si>
  <si>
    <t>Slavery and Emancipation</t>
  </si>
  <si>
    <t>HIST 194</t>
  </si>
  <si>
    <t>IS 198</t>
  </si>
  <si>
    <t>Exploring the Silicon Prairie (J-term 2017)</t>
  </si>
  <si>
    <t>MATH 157</t>
  </si>
  <si>
    <t>History of Mathematics</t>
  </si>
  <si>
    <t>MILS 005</t>
  </si>
  <si>
    <t>American Military History</t>
  </si>
  <si>
    <t>MUS 085</t>
  </si>
  <si>
    <t>Music History I</t>
  </si>
  <si>
    <t>Islam in the 21st Century </t>
  </si>
  <si>
    <t>PSY 151</t>
  </si>
  <si>
    <t>History and Systems of Psychology</t>
  </si>
  <si>
    <t>REL 053</t>
  </si>
  <si>
    <t>Life and Teachings of Jesus</t>
  </si>
  <si>
    <t>Apocalyptic America in Film and Culture (effective 2/2016)</t>
  </si>
  <si>
    <t>SCSR 110</t>
  </si>
  <si>
    <t>History of American Public Address (previously Rhetoric 110)</t>
  </si>
  <si>
    <t>SCSR 150</t>
  </si>
  <si>
    <t>Plato and Aristotle (previously Rhetoric 150)</t>
  </si>
  <si>
    <t>SCAA 157</t>
  </si>
  <si>
    <t>Historical Research Methods</t>
  </si>
  <si>
    <t>ACCT 166</t>
  </si>
  <si>
    <t>Financial Accounting II</t>
  </si>
  <si>
    <t>ACTS 170</t>
  </si>
  <si>
    <t>Stat Modeling/Data Analysis II</t>
  </si>
  <si>
    <t>ECON 170</t>
  </si>
  <si>
    <t>Into to Econometrics</t>
  </si>
  <si>
    <t>EDUC 109</t>
  </si>
  <si>
    <t>Educational Technology</t>
  </si>
  <si>
    <t>ENSP 037</t>
  </si>
  <si>
    <t>Environmental Case Analysis</t>
  </si>
  <si>
    <t>FIN 197</t>
  </si>
  <si>
    <t>Seminar in Finance</t>
  </si>
  <si>
    <t>HSCI 172</t>
  </si>
  <si>
    <t>Evaluating Research</t>
  </si>
  <si>
    <t>Communications in Society</t>
  </si>
  <si>
    <t>Social Media Strategies</t>
  </si>
  <si>
    <t>LIBR 042</t>
  </si>
  <si>
    <t>Information Literacy</t>
  </si>
  <si>
    <t>LIBR 046</t>
  </si>
  <si>
    <t>Destination Thailand (J-term 2017)</t>
  </si>
  <si>
    <t>LIBR 072</t>
  </si>
  <si>
    <t>What's Up Doc(umentory)?</t>
  </si>
  <si>
    <t>LIBR 120</t>
  </si>
  <si>
    <t>LIBR066</t>
  </si>
  <si>
    <t>Advanced Research Methods for the Humanities and Social Sciences</t>
  </si>
  <si>
    <t>John Grisham: Lessons in Law and Pop Culture</t>
  </si>
  <si>
    <t>Toxic Torts</t>
  </si>
  <si>
    <t>MGMT 170</t>
  </si>
  <si>
    <t>International Management</t>
  </si>
  <si>
    <t>MKTG 113</t>
  </si>
  <si>
    <t>PHAR 144</t>
  </si>
  <si>
    <t>Marketing Research</t>
  </si>
  <si>
    <t>and 145: Basic Pharmacy Skills and Applications 1 and 2.  BOTH are required to fulfill the AOI</t>
  </si>
  <si>
    <t>PHAR 145</t>
  </si>
  <si>
    <t>and 144: Basic Pharmacy Skills and Applications 1 and 2.  BOTH are required to fulfill the AOI</t>
  </si>
  <si>
    <t>PSY 133</t>
  </si>
  <si>
    <t>Psychological Assessment</t>
  </si>
  <si>
    <t>SCSS 157</t>
  </si>
  <si>
    <t>SCSS 163</t>
  </si>
  <si>
    <t>Global Youth Studies</t>
  </si>
  <si>
    <t>AP - Biology</t>
  </si>
  <si>
    <t>AP - Psychology</t>
  </si>
  <si>
    <t>IB - Biology Higher Level</t>
  </si>
  <si>
    <t>IB - Biology Subsidiary</t>
  </si>
  <si>
    <t>CLEP - Biology Genera</t>
  </si>
  <si>
    <t>AP - Chemistry</t>
  </si>
  <si>
    <t>AP - Physics B</t>
  </si>
  <si>
    <t>AP - Physics C Elec &amp; Mag</t>
  </si>
  <si>
    <t>AP - Physics C Mechanics</t>
  </si>
  <si>
    <t>IB - Chemistry Higher Level</t>
  </si>
  <si>
    <t>IB - Chemistry Subsidiary</t>
  </si>
  <si>
    <t>IB - Physics Higher Level</t>
  </si>
  <si>
    <t>IB - Physics Subsidiary</t>
  </si>
  <si>
    <t>CLEP - Chemistry General</t>
  </si>
  <si>
    <t>AP - Math Calc A&amp;B</t>
  </si>
  <si>
    <t>AP - Math Calc B&amp;C</t>
  </si>
  <si>
    <t>AP - Stat</t>
  </si>
  <si>
    <t>IB - Math Higher Level</t>
  </si>
  <si>
    <t>IB - Math Subsidiary</t>
  </si>
  <si>
    <t>CLEP - Calculus Elem Function</t>
  </si>
  <si>
    <t>AP - English Lit</t>
  </si>
  <si>
    <t>AP - Composition</t>
  </si>
  <si>
    <t>IB - English Higher Level</t>
  </si>
  <si>
    <t>IB - English Subsidiary</t>
  </si>
  <si>
    <t>MATH 017</t>
  </si>
  <si>
    <t>The Spirit of Mathematics</t>
  </si>
  <si>
    <t>MATH 020</t>
  </si>
  <si>
    <t>College Algebra</t>
  </si>
  <si>
    <t>MATH 024</t>
  </si>
  <si>
    <t>Structure of Mathematics for Elementary Education </t>
  </si>
  <si>
    <t>MATH 025</t>
  </si>
  <si>
    <t>Structure of Mathematics for Elementary Education II</t>
  </si>
  <si>
    <t>MATH 028</t>
  </si>
  <si>
    <t>Business Calculus</t>
  </si>
  <si>
    <t>MATH 050</t>
  </si>
  <si>
    <t>Calculus I</t>
  </si>
  <si>
    <t>MATH 054</t>
  </si>
  <si>
    <t>Discrete Mathematics</t>
  </si>
  <si>
    <t>MATH 070</t>
  </si>
  <si>
    <t>Calculus II</t>
  </si>
  <si>
    <t>MATH 080</t>
  </si>
  <si>
    <t>Linear Algebra</t>
  </si>
  <si>
    <t>MATH 100</t>
  </si>
  <si>
    <t>Calculus III</t>
  </si>
  <si>
    <t>PHIL 114</t>
  </si>
  <si>
    <t>Symbolic Logic</t>
  </si>
  <si>
    <t>PSY 011</t>
  </si>
  <si>
    <t>Introductory Statistics</t>
  </si>
  <si>
    <t>Statistics for Life Sciences</t>
  </si>
  <si>
    <t>STAT 071</t>
  </si>
  <si>
    <t>Statistics I</t>
  </si>
  <si>
    <t>PHY 025</t>
  </si>
  <si>
    <t>PSY 095</t>
  </si>
  <si>
    <t>Science, Ethics and Diversity</t>
  </si>
  <si>
    <t>BIO 021</t>
  </si>
  <si>
    <t>BUS 090</t>
  </si>
  <si>
    <t>Business Ethics</t>
  </si>
  <si>
    <t>CS 083</t>
  </si>
  <si>
    <t>Ethical and Social Issues and Computing</t>
  </si>
  <si>
    <t>CS 105</t>
  </si>
  <si>
    <t>Computers and the Future</t>
  </si>
  <si>
    <t>EDUC 103</t>
  </si>
  <si>
    <t>Foundations of Education</t>
  </si>
  <si>
    <t>Safety in Academic Science Labs</t>
  </si>
  <si>
    <t>EDUC 198</t>
  </si>
  <si>
    <t>Educational Equity and Social Justice</t>
  </si>
  <si>
    <t>ENSP 157</t>
  </si>
  <si>
    <t>Environmental Justice</t>
  </si>
  <si>
    <t>HSCI 105</t>
  </si>
  <si>
    <t>Issues in Health Sciences IV: Bioethics</t>
  </si>
  <si>
    <t>Communications Law and Ethics</t>
  </si>
  <si>
    <t>PHAR 162</t>
  </si>
  <si>
    <t>Pharmacy Law &amp; Ethics</t>
  </si>
  <si>
    <t>PHIL 091</t>
  </si>
  <si>
    <t>Contemporary Ethical Problems</t>
  </si>
  <si>
    <t>PHIL 117</t>
  </si>
  <si>
    <t>Bio-Medical Ethics</t>
  </si>
  <si>
    <t>POLS 079</t>
  </si>
  <si>
    <t>Ethics in a Globalizing World</t>
  </si>
  <si>
    <t>Human Rights &amp; World</t>
  </si>
  <si>
    <t>PSY 145</t>
  </si>
  <si>
    <t>Applied and Professional Ethics in Psychology (previously PSY 195)</t>
  </si>
  <si>
    <t>REL 140</t>
  </si>
  <si>
    <t>Ecological Ethics</t>
  </si>
  <si>
    <t>Confucianism and Human Rights</t>
  </si>
  <si>
    <t>SCSR 112</t>
  </si>
  <si>
    <t>Rhetoric of War (previously Rhet 112)</t>
  </si>
  <si>
    <t>SCSS 100</t>
  </si>
  <si>
    <t>Doing Morality (previously Soc 100)</t>
  </si>
  <si>
    <t>SCSS 170</t>
  </si>
  <si>
    <t>Deviance (previously Soc 170)</t>
  </si>
  <si>
    <t>SCSS 174</t>
  </si>
  <si>
    <t>Being and Power: Feminist Theories of Subjectivity (previously Soc 174)</t>
  </si>
  <si>
    <t>Professional Communications</t>
  </si>
  <si>
    <t>ENG 042</t>
  </si>
  <si>
    <t>Approaches to American Literature (before 1900)</t>
  </si>
  <si>
    <t>ENG 044</t>
  </si>
  <si>
    <t>Approaches to British Literature (before 1900)</t>
  </si>
  <si>
    <t>ENG 056</t>
  </si>
  <si>
    <t>The Classic Then and Now</t>
  </si>
  <si>
    <t>ENG 058</t>
  </si>
  <si>
    <t>Reading Shakespeare</t>
  </si>
  <si>
    <t>ENG 061</t>
  </si>
  <si>
    <t>Approaches to American Literature (after 1900)</t>
  </si>
  <si>
    <t>ENG 062</t>
  </si>
  <si>
    <t>Approaches to British Literature (after1900)</t>
  </si>
  <si>
    <t>ENG 080</t>
  </si>
  <si>
    <t>Topics in Writing</t>
  </si>
  <si>
    <t>ENG 086</t>
  </si>
  <si>
    <t>Reading &amp; Writing Sexuality</t>
  </si>
  <si>
    <t>ENG 088</t>
  </si>
  <si>
    <t>Reading and Writing about Class</t>
  </si>
  <si>
    <t>ENG 090</t>
  </si>
  <si>
    <t>Reading &amp; Writing Drama</t>
  </si>
  <si>
    <t>ENG 091</t>
  </si>
  <si>
    <t>Reading &amp; Writing Poetry</t>
  </si>
  <si>
    <t>ENG 092</t>
  </si>
  <si>
    <t>Reading &amp; Writing the Short Story</t>
  </si>
  <si>
    <t>ENG 093</t>
  </si>
  <si>
    <t>Reading &amp; Writing Non-Fiction</t>
  </si>
  <si>
    <t>ENG 094</t>
  </si>
  <si>
    <t>Business &amp; Admin. Communication</t>
  </si>
  <si>
    <t>ENG 109</t>
  </si>
  <si>
    <t>Prose Stylistics</t>
  </si>
  <si>
    <t>ENG 111</t>
  </si>
  <si>
    <t>Reading &amp; Writing the Personal Essay</t>
  </si>
  <si>
    <t>ENG 112</t>
  </si>
  <si>
    <t>Autobiography and Memoir</t>
  </si>
  <si>
    <t>ENG 120</t>
  </si>
  <si>
    <t>INTD 121</t>
  </si>
  <si>
    <t>Framing Race: Repair and Reparations</t>
  </si>
  <si>
    <t>Reporting &amp; Writing Principles</t>
  </si>
  <si>
    <t>Magazine Article Writing</t>
  </si>
  <si>
    <t>Public Relations Writing</t>
  </si>
  <si>
    <t>Advertising Copywriting</t>
  </si>
  <si>
    <t>MUS 111</t>
  </si>
  <si>
    <t>History of Music I</t>
  </si>
  <si>
    <t>POLS 192</t>
  </si>
  <si>
    <t>Senior Seminar on International Relations Theory</t>
  </si>
  <si>
    <t>PSY 012</t>
  </si>
  <si>
    <t>Writing in Psychology</t>
  </si>
  <si>
    <t>SCSS 042</t>
  </si>
  <si>
    <t>Sociological Inquiry</t>
  </si>
  <si>
    <t>Labor Economics</t>
  </si>
  <si>
    <t>BIO 001L</t>
  </si>
  <si>
    <t>BIO 012L</t>
  </si>
  <si>
    <t>BIO 019L</t>
  </si>
  <si>
    <t>BIO 013L</t>
  </si>
  <si>
    <t>BIO 092L</t>
  </si>
  <si>
    <t>CHEM 007</t>
  </si>
  <si>
    <t>CHEM 098</t>
  </si>
  <si>
    <t>CHEM 110</t>
  </si>
  <si>
    <t>ENSP 036</t>
  </si>
  <si>
    <t>BIO 001</t>
  </si>
  <si>
    <t>BIO 012</t>
  </si>
  <si>
    <t>BIO 013</t>
  </si>
  <si>
    <t>BIO 019</t>
  </si>
  <si>
    <t>CHEM 006</t>
  </si>
  <si>
    <t>CHEM 097</t>
  </si>
  <si>
    <t>CHEM 108</t>
  </si>
  <si>
    <t>ENSP 035</t>
  </si>
  <si>
    <t>Biological Sciences w/lab</t>
  </si>
  <si>
    <t>General and Pre-Professional Biology w/lab</t>
  </si>
  <si>
    <t>General and Pre-Professional Biology II w/lab</t>
  </si>
  <si>
    <t>Intro to Botany w/lab</t>
  </si>
  <si>
    <t>Ethnobotony w/ lab</t>
  </si>
  <si>
    <t>Chemistry for the Informed Citizen w/lab</t>
  </si>
  <si>
    <t>Organic Chemistry I w/lab</t>
  </si>
  <si>
    <t>Organic Chemistry II w/lab</t>
  </si>
  <si>
    <t>One Earth: Global Environmental Science w/lab</t>
  </si>
  <si>
    <t>BIO 030</t>
  </si>
  <si>
    <t>Personal Fitness &amp; Nutrition</t>
  </si>
  <si>
    <t>COUN 160</t>
  </si>
  <si>
    <t>Medical &amp; Psychological Aspects of Disability</t>
  </si>
  <si>
    <t>NSCI 001</t>
  </si>
  <si>
    <t>Intro to Neuroscience: Scientific Literacy</t>
  </si>
  <si>
    <t>SMCE 001</t>
  </si>
  <si>
    <t>Science and Math for Civic Engagement: Nutrition*</t>
  </si>
  <si>
    <t>SMCE 002</t>
  </si>
  <si>
    <t>Science and Math for Civic Engagement: The Iowa Environment*</t>
  </si>
  <si>
    <t>SCI. LAB AOI</t>
  </si>
  <si>
    <t>GEOL 001</t>
  </si>
  <si>
    <t>Principles of Geology</t>
  </si>
  <si>
    <t>CHEM 003</t>
  </si>
  <si>
    <t>General Chemistry I w/lab</t>
  </si>
  <si>
    <t>Chem 110</t>
  </si>
  <si>
    <t>ASTR 001</t>
  </si>
  <si>
    <t>Descriptive Astronomy (w/optional lab)</t>
  </si>
  <si>
    <t>CHEM 001</t>
  </si>
  <si>
    <t>CHEM 97</t>
  </si>
  <si>
    <t>CHEM 98</t>
  </si>
  <si>
    <t>ENSP 022</t>
  </si>
  <si>
    <t>Meteorology: The Science of Weather</t>
  </si>
  <si>
    <t>ENSP 027</t>
  </si>
  <si>
    <t>Environmental Hazards</t>
  </si>
  <si>
    <t>ENSP 041</t>
  </si>
  <si>
    <t>ENSP 105</t>
  </si>
  <si>
    <t>Environmental Geology</t>
  </si>
  <si>
    <t>ENSP 135</t>
  </si>
  <si>
    <t>Global Climate Change: Science and Policy Issues</t>
  </si>
  <si>
    <t>PHSC 001</t>
  </si>
  <si>
    <t>Physical Science I</t>
  </si>
  <si>
    <t>PHY 001</t>
  </si>
  <si>
    <t>Intro Physics I</t>
  </si>
  <si>
    <t>PHY 005</t>
  </si>
  <si>
    <t>Intro Topics in Physics</t>
  </si>
  <si>
    <t>PHY 011</t>
  </si>
  <si>
    <t>General Physics I</t>
  </si>
  <si>
    <t>Intro Physics I w/lab</t>
  </si>
  <si>
    <t>General Physics I w/lab</t>
  </si>
  <si>
    <t>ASTR 01L</t>
  </si>
  <si>
    <t>HONR 100</t>
  </si>
  <si>
    <t>Honors Electives (15 credits)</t>
  </si>
  <si>
    <t>SCI. AOI</t>
  </si>
  <si>
    <t>Area of Concentration</t>
  </si>
  <si>
    <t xml:space="preserve">12 Upper-Level Credits </t>
  </si>
  <si>
    <t>AOC Lower-Level Credits</t>
  </si>
  <si>
    <t>AOC Upper-Level Credits</t>
  </si>
  <si>
    <t>Anthropology</t>
  </si>
  <si>
    <t>Geography</t>
  </si>
  <si>
    <t>History</t>
  </si>
  <si>
    <t>Military Science</t>
  </si>
  <si>
    <t>Sociology</t>
  </si>
  <si>
    <t>Study of Culture and Society</t>
  </si>
  <si>
    <t>World Languages and Cultures</t>
  </si>
  <si>
    <t>SCSA</t>
  </si>
  <si>
    <t>SCSG</t>
  </si>
  <si>
    <t>MILS</t>
  </si>
  <si>
    <t>SCS</t>
  </si>
  <si>
    <t>100-L</t>
  </si>
  <si>
    <t>HONR CR.</t>
  </si>
  <si>
    <t>100-L CR.</t>
  </si>
  <si>
    <t>AOC UPPER CR.</t>
  </si>
  <si>
    <t>AOC LOWER CR.</t>
  </si>
  <si>
    <t>/80</t>
  </si>
  <si>
    <t>/48</t>
  </si>
  <si>
    <t xml:space="preserve">Upper-Level </t>
  </si>
  <si>
    <t>/40</t>
  </si>
  <si>
    <t>Drake Curriculum</t>
  </si>
  <si>
    <t>AOI Track</t>
  </si>
  <si>
    <t>Honors Track</t>
  </si>
  <si>
    <t>9 Lower-Level Credits</t>
  </si>
  <si>
    <t>Non-JMC Courses</t>
  </si>
  <si>
    <t>OR</t>
  </si>
  <si>
    <t>Core</t>
  </si>
  <si>
    <t>Major</t>
  </si>
  <si>
    <t>Total Non-JMC:</t>
  </si>
  <si>
    <t>Total Upper-Level:</t>
  </si>
  <si>
    <t>Total A&amp;S:</t>
  </si>
  <si>
    <t>ARTS &amp; SCIENCES</t>
  </si>
  <si>
    <t>Total Credit Hours</t>
  </si>
  <si>
    <t>/124</t>
  </si>
  <si>
    <t>Major 1:</t>
  </si>
  <si>
    <t xml:space="preserve">Business  </t>
  </si>
  <si>
    <t>BUS</t>
  </si>
  <si>
    <t>0--</t>
  </si>
  <si>
    <t>1--</t>
  </si>
  <si>
    <t>Single Exception A&amp;S</t>
  </si>
  <si>
    <t>ECON 010</t>
  </si>
  <si>
    <t>STAT 040</t>
  </si>
  <si>
    <t>NEWS ELECTIVES</t>
  </si>
  <si>
    <t xml:space="preserve">Electives </t>
  </si>
  <si>
    <t xml:space="preserve">(6 Cr. Hrs. - Any JMC course not required for News) </t>
  </si>
  <si>
    <t xml:space="preserve"> </t>
  </si>
  <si>
    <t>Plan of Study Worksheet</t>
  </si>
  <si>
    <t>Communication, Dialogue, and Development</t>
  </si>
  <si>
    <t>POLS 095, SCSS 159, STAT 050</t>
  </si>
  <si>
    <t>JMC 076, JMC 099, POLS 114, POLS 166</t>
  </si>
  <si>
    <t>SPC ELECTIVES</t>
  </si>
  <si>
    <t xml:space="preserve">Methods </t>
  </si>
  <si>
    <t>Course - Choose 1</t>
  </si>
  <si>
    <t>- 6 credits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</si>
</sst>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"/>
  </numFmts>
  <fonts count="17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theme="0"/>
      <name val="Bell MT"/>
      <family val="1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  <font>
      <sz val="20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6"/>
      <color theme="1"/>
      <name val="Arial"/>
      <family val="2"/>
    </font>
    <font>
      <sz val="18"/>
      <color theme="1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20"/>
      <color theme="1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66FF"/>
        <bgColor indexed="64"/>
      </patternFill>
    </fill>
  </fills>
  <borders count="3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ck">
        <color auto="1"/>
      </right>
      <top style="medium">
        <color auto="1"/>
      </top>
      <bottom/>
      <diagonal/>
    </border>
    <border>
      <left/>
      <right style="thick">
        <color auto="1"/>
      </right>
      <top/>
      <bottom style="double">
        <color auto="1"/>
      </bottom>
      <diagonal/>
    </border>
    <border>
      <left/>
      <right style="thick">
        <color auto="1"/>
      </right>
      <top/>
      <bottom/>
      <diagonal/>
    </border>
    <border>
      <left/>
      <right style="thick">
        <color auto="1"/>
      </right>
      <top/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theme="0" tint="-0.249977111117893"/>
      </right>
      <top style="double">
        <color auto="1"/>
      </top>
      <bottom/>
      <diagonal/>
    </border>
    <border>
      <left style="medium">
        <color auto="1"/>
      </left>
      <right style="thin">
        <color theme="0" tint="-0.249977111117893"/>
      </right>
      <top/>
      <bottom/>
      <diagonal/>
    </border>
    <border>
      <left style="medium">
        <color auto="1"/>
      </left>
      <right style="thin">
        <color theme="0" tint="-0.249977111117893"/>
      </right>
      <top/>
      <bottom style="thin">
        <color auto="1"/>
      </bottom>
      <diagonal/>
    </border>
    <border>
      <left style="thin">
        <color theme="0" tint="-0.249977111117893"/>
      </left>
      <right/>
      <top style="double">
        <color auto="1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double">
        <color auto="1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auto="1"/>
      </bottom>
      <diagonal/>
    </border>
    <border>
      <left/>
      <right style="thin">
        <color theme="0" tint="-0.249977111117893"/>
      </right>
      <top style="double">
        <color auto="1"/>
      </top>
      <bottom/>
      <diagonal/>
    </border>
    <border>
      <left/>
      <right style="thin">
        <color theme="0" tint="-0.249977111117893"/>
      </right>
      <top/>
      <bottom/>
      <diagonal/>
    </border>
    <border>
      <left/>
      <right style="thin">
        <color theme="0" tint="-0.249977111117893"/>
      </right>
      <top/>
      <bottom style="thin">
        <color auto="1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5">
    <xf numFmtId="0" fontId="0" fillId="0" borderId="0" xfId="0"/>
    <xf numFmtId="164" fontId="0" fillId="0" borderId="0" xfId="0" applyNumberFormat="1"/>
    <xf numFmtId="0" fontId="0" fillId="0" borderId="0" xfId="0" applyNumberFormat="1"/>
    <xf numFmtId="0" fontId="2" fillId="0" borderId="0" xfId="0" applyFont="1"/>
    <xf numFmtId="0" fontId="0" fillId="0" borderId="0" xfId="0" applyBorder="1" applyAlignment="1">
      <alignment vertical="center"/>
    </xf>
    <xf numFmtId="0" fontId="0" fillId="0" borderId="0" xfId="0" applyBorder="1" applyAlignment="1">
      <alignment vertical="top"/>
    </xf>
    <xf numFmtId="0" fontId="0" fillId="0" borderId="0" xfId="0" applyBorder="1"/>
    <xf numFmtId="0" fontId="0" fillId="0" borderId="35" xfId="0" applyBorder="1" applyAlignment="1">
      <alignment vertical="center"/>
    </xf>
    <xf numFmtId="0" fontId="0" fillId="0" borderId="35" xfId="0" applyBorder="1"/>
    <xf numFmtId="0" fontId="0" fillId="0" borderId="35" xfId="0" applyBorder="1" applyAlignment="1">
      <alignment vertical="top"/>
    </xf>
    <xf numFmtId="0" fontId="0" fillId="0" borderId="36" xfId="0" applyBorder="1" applyAlignment="1">
      <alignment vertical="center"/>
    </xf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4" fillId="0" borderId="0" xfId="0" applyFont="1"/>
    <xf numFmtId="0" fontId="5" fillId="0" borderId="0" xfId="0" applyFont="1" applyProtection="1">
      <protection hidden="1"/>
    </xf>
    <xf numFmtId="0" fontId="5" fillId="0" borderId="12" xfId="0" applyFont="1" applyBorder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0" fontId="7" fillId="0" borderId="31" xfId="0" applyFont="1" applyBorder="1" applyAlignment="1" applyProtection="1">
      <alignment vertical="center"/>
      <protection hidden="1"/>
    </xf>
    <xf numFmtId="0" fontId="7" fillId="0" borderId="0" xfId="0" applyFont="1" applyBorder="1" applyAlignment="1" applyProtection="1">
      <alignment vertical="center"/>
      <protection hidden="1"/>
    </xf>
    <xf numFmtId="0" fontId="7" fillId="0" borderId="32" xfId="0" applyFont="1" applyBorder="1" applyAlignment="1" applyProtection="1">
      <alignment vertical="center"/>
      <protection hidden="1"/>
    </xf>
    <xf numFmtId="0" fontId="7" fillId="0" borderId="12" xfId="0" applyFont="1" applyBorder="1" applyAlignment="1" applyProtection="1">
      <alignment vertical="center"/>
      <protection hidden="1"/>
    </xf>
    <xf numFmtId="0" fontId="5" fillId="0" borderId="31" xfId="0" applyFont="1" applyBorder="1" applyProtection="1">
      <protection hidden="1"/>
    </xf>
    <xf numFmtId="0" fontId="5" fillId="0" borderId="32" xfId="0" applyFont="1" applyBorder="1" applyProtection="1">
      <protection hidden="1"/>
    </xf>
    <xf numFmtId="0" fontId="5" fillId="0" borderId="33" xfId="0" applyFont="1" applyBorder="1" applyProtection="1">
      <protection hidden="1"/>
    </xf>
    <xf numFmtId="0" fontId="5" fillId="0" borderId="34" xfId="0" applyFont="1" applyBorder="1" applyProtection="1">
      <protection hidden="1"/>
    </xf>
    <xf numFmtId="0" fontId="11" fillId="0" borderId="32" xfId="0" applyFont="1" applyBorder="1" applyProtection="1">
      <protection hidden="1"/>
    </xf>
    <xf numFmtId="0" fontId="11" fillId="0" borderId="34" xfId="0" applyFont="1" applyBorder="1" applyProtection="1">
      <protection hidden="1"/>
    </xf>
    <xf numFmtId="0" fontId="7" fillId="0" borderId="33" xfId="0" applyFont="1" applyBorder="1" applyAlignment="1" applyProtection="1">
      <alignment vertical="center"/>
      <protection hidden="1"/>
    </xf>
    <xf numFmtId="0" fontId="7" fillId="0" borderId="34" xfId="0" applyFont="1" applyBorder="1" applyAlignment="1" applyProtection="1">
      <alignment vertical="center"/>
      <protection hidden="1"/>
    </xf>
    <xf numFmtId="0" fontId="12" fillId="0" borderId="0" xfId="0" applyFont="1"/>
    <xf numFmtId="0" fontId="13" fillId="0" borderId="0" xfId="0" applyFont="1" applyAlignment="1">
      <alignment vertical="top"/>
    </xf>
    <xf numFmtId="0" fontId="13" fillId="0" borderId="0" xfId="0" applyFont="1"/>
    <xf numFmtId="0" fontId="13" fillId="0" borderId="0" xfId="0" applyFont="1" applyAlignment="1">
      <alignment horizontal="center"/>
    </xf>
    <xf numFmtId="0" fontId="12" fillId="0" borderId="12" xfId="0" applyFont="1" applyBorder="1" applyProtection="1">
      <protection locked="0"/>
    </xf>
    <xf numFmtId="0" fontId="13" fillId="0" borderId="0" xfId="0" applyFont="1" applyAlignment="1"/>
    <xf numFmtId="0" fontId="12" fillId="0" borderId="27" xfId="0" applyFont="1" applyBorder="1" applyProtection="1">
      <protection locked="0"/>
    </xf>
    <xf numFmtId="0" fontId="12" fillId="0" borderId="4" xfId="0" applyFont="1" applyBorder="1"/>
    <xf numFmtId="0" fontId="12" fillId="0" borderId="1" xfId="0" applyFont="1" applyBorder="1" applyAlignment="1">
      <alignment horizontal="left"/>
    </xf>
    <xf numFmtId="0" fontId="12" fillId="0" borderId="14" xfId="0" applyFont="1" applyBorder="1" applyProtection="1">
      <protection locked="0"/>
    </xf>
    <xf numFmtId="0" fontId="12" fillId="0" borderId="2" xfId="0" applyFont="1" applyBorder="1"/>
    <xf numFmtId="0" fontId="12" fillId="0" borderId="7" xfId="0" applyFont="1" applyBorder="1"/>
    <xf numFmtId="0" fontId="13" fillId="0" borderId="5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13" fillId="0" borderId="6" xfId="0" applyFont="1" applyBorder="1"/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2" fillId="2" borderId="15" xfId="0" applyFont="1" applyFill="1" applyBorder="1" applyAlignment="1" applyProtection="1">
      <alignment vertical="center"/>
      <protection locked="0"/>
    </xf>
    <xf numFmtId="164" fontId="12" fillId="2" borderId="19" xfId="0" applyNumberFormat="1" applyFont="1" applyFill="1" applyBorder="1" applyAlignment="1" applyProtection="1">
      <alignment vertical="center"/>
      <protection locked="0"/>
    </xf>
    <xf numFmtId="164" fontId="12" fillId="2" borderId="0" xfId="0" applyNumberFormat="1" applyFont="1" applyFill="1" applyBorder="1" applyAlignment="1" applyProtection="1">
      <alignment vertical="center"/>
      <protection locked="0"/>
    </xf>
    <xf numFmtId="0" fontId="12" fillId="2" borderId="19" xfId="0" applyFont="1" applyFill="1" applyBorder="1" applyAlignment="1" applyProtection="1">
      <alignment vertical="center"/>
      <protection locked="0"/>
    </xf>
    <xf numFmtId="0" fontId="12" fillId="2" borderId="9" xfId="0" applyFont="1" applyFill="1" applyBorder="1" applyAlignment="1" applyProtection="1">
      <alignment vertical="center"/>
      <protection locked="0"/>
    </xf>
    <xf numFmtId="0" fontId="12" fillId="0" borderId="16" xfId="0" applyFont="1" applyBorder="1" applyAlignment="1" applyProtection="1">
      <alignment vertical="center"/>
      <protection locked="0"/>
    </xf>
    <xf numFmtId="164" fontId="12" fillId="0" borderId="20" xfId="0" applyNumberFormat="1" applyFont="1" applyBorder="1" applyAlignment="1" applyProtection="1">
      <alignment vertical="center"/>
      <protection locked="0"/>
    </xf>
    <xf numFmtId="164" fontId="12" fillId="0" borderId="0" xfId="0" applyNumberFormat="1" applyFont="1" applyBorder="1" applyAlignment="1" applyProtection="1">
      <alignment vertical="center"/>
      <protection locked="0"/>
    </xf>
    <xf numFmtId="0" fontId="12" fillId="0" borderId="20" xfId="0" applyFont="1" applyBorder="1" applyAlignment="1" applyProtection="1">
      <alignment vertical="center"/>
      <protection locked="0"/>
    </xf>
    <xf numFmtId="0" fontId="12" fillId="0" borderId="9" xfId="0" applyFont="1" applyBorder="1" applyAlignment="1" applyProtection="1">
      <alignment vertical="center"/>
      <protection locked="0"/>
    </xf>
    <xf numFmtId="0" fontId="12" fillId="2" borderId="16" xfId="0" applyFont="1" applyFill="1" applyBorder="1" applyAlignment="1" applyProtection="1">
      <alignment vertical="center"/>
      <protection locked="0"/>
    </xf>
    <xf numFmtId="164" fontId="12" fillId="2" borderId="20" xfId="0" applyNumberFormat="1" applyFont="1" applyFill="1" applyBorder="1" applyAlignment="1" applyProtection="1">
      <alignment vertical="center"/>
      <protection locked="0"/>
    </xf>
    <xf numFmtId="0" fontId="12" fillId="2" borderId="20" xfId="0" applyFont="1" applyFill="1" applyBorder="1" applyAlignment="1" applyProtection="1">
      <alignment vertical="center"/>
      <protection locked="0"/>
    </xf>
    <xf numFmtId="164" fontId="12" fillId="0" borderId="20" xfId="0" applyNumberFormat="1" applyFont="1" applyFill="1" applyBorder="1" applyAlignment="1" applyProtection="1">
      <alignment vertical="center"/>
      <protection locked="0"/>
    </xf>
    <xf numFmtId="0" fontId="12" fillId="2" borderId="17" xfId="0" applyFont="1" applyFill="1" applyBorder="1" applyAlignment="1" applyProtection="1">
      <alignment vertical="center"/>
      <protection locked="0"/>
    </xf>
    <xf numFmtId="164" fontId="12" fillId="2" borderId="21" xfId="0" applyNumberFormat="1" applyFont="1" applyFill="1" applyBorder="1" applyAlignment="1" applyProtection="1">
      <alignment vertical="center"/>
      <protection locked="0"/>
    </xf>
    <xf numFmtId="164" fontId="12" fillId="2" borderId="12" xfId="0" applyNumberFormat="1" applyFont="1" applyFill="1" applyBorder="1" applyAlignment="1" applyProtection="1">
      <alignment vertical="center"/>
      <protection locked="0"/>
    </xf>
    <xf numFmtId="0" fontId="12" fillId="2" borderId="21" xfId="0" applyFont="1" applyFill="1" applyBorder="1" applyAlignment="1" applyProtection="1">
      <alignment vertical="center"/>
      <protection locked="0"/>
    </xf>
    <xf numFmtId="0" fontId="12" fillId="2" borderId="13" xfId="0" applyFont="1" applyFill="1" applyBorder="1" applyAlignment="1" applyProtection="1">
      <alignment vertical="center"/>
      <protection locked="0"/>
    </xf>
    <xf numFmtId="0" fontId="12" fillId="0" borderId="3" xfId="0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0" fontId="12" fillId="0" borderId="10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0" fontId="12" fillId="0" borderId="14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12" fillId="0" borderId="2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3" fillId="0" borderId="8" xfId="0" applyFont="1" applyBorder="1" applyAlignment="1">
      <alignment vertical="center"/>
    </xf>
    <xf numFmtId="0" fontId="12" fillId="2" borderId="0" xfId="0" applyFont="1" applyFill="1" applyBorder="1" applyAlignment="1" applyProtection="1">
      <alignment vertical="center"/>
      <protection locked="0"/>
    </xf>
    <xf numFmtId="0" fontId="12" fillId="0" borderId="0" xfId="0" applyFont="1" applyBorder="1" applyAlignment="1" applyProtection="1">
      <alignment vertical="center"/>
      <protection locked="0"/>
    </xf>
    <xf numFmtId="0" fontId="12" fillId="2" borderId="12" xfId="0" applyFont="1" applyFill="1" applyBorder="1" applyAlignment="1" applyProtection="1">
      <alignment vertical="center"/>
      <protection locked="0"/>
    </xf>
    <xf numFmtId="0" fontId="9" fillId="0" borderId="12" xfId="0" applyFont="1" applyBorder="1" applyAlignment="1" applyProtection="1">
      <alignment horizontal="right" vertical="center"/>
      <protection hidden="1"/>
    </xf>
    <xf numFmtId="0" fontId="9" fillId="0" borderId="12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horizontal="center" vertical="center"/>
      <protection hidden="1"/>
    </xf>
    <xf numFmtId="0" fontId="12" fillId="0" borderId="0" xfId="0" applyFont="1" applyProtection="1">
      <protection hidden="1"/>
    </xf>
    <xf numFmtId="0" fontId="12" fillId="0" borderId="0" xfId="0" applyFont="1" applyAlignment="1" applyProtection="1">
      <alignment horizontal="right"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horizontal="right"/>
      <protection hidden="1"/>
    </xf>
    <xf numFmtId="0" fontId="13" fillId="0" borderId="0" xfId="0" applyFont="1" applyAlignment="1" applyProtection="1">
      <alignment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12" fillId="0" borderId="0" xfId="0" applyFont="1" applyBorder="1" applyProtection="1">
      <protection hidden="1"/>
    </xf>
    <xf numFmtId="0" fontId="12" fillId="0" borderId="31" xfId="0" applyFont="1" applyBorder="1" applyAlignment="1" applyProtection="1">
      <alignment vertical="center"/>
      <protection hidden="1"/>
    </xf>
    <xf numFmtId="0" fontId="12" fillId="0" borderId="0" xfId="0" applyFont="1" applyBorder="1" applyAlignment="1" applyProtection="1">
      <alignment vertical="center"/>
      <protection hidden="1"/>
    </xf>
    <xf numFmtId="0" fontId="12" fillId="0" borderId="32" xfId="0" applyFont="1" applyBorder="1" applyAlignment="1" applyProtection="1">
      <alignment vertical="center"/>
      <protection hidden="1"/>
    </xf>
    <xf numFmtId="0" fontId="12" fillId="0" borderId="12" xfId="0" applyFont="1" applyBorder="1" applyAlignment="1" applyProtection="1">
      <alignment vertical="center"/>
      <protection hidden="1"/>
    </xf>
    <xf numFmtId="0" fontId="14" fillId="0" borderId="0" xfId="0" applyFont="1" applyBorder="1" applyAlignment="1" applyProtection="1">
      <alignment vertical="center"/>
      <protection hidden="1"/>
    </xf>
    <xf numFmtId="0" fontId="14" fillId="0" borderId="32" xfId="0" applyFont="1" applyBorder="1" applyAlignment="1" applyProtection="1">
      <alignment vertical="center"/>
      <protection hidden="1"/>
    </xf>
    <xf numFmtId="0" fontId="12" fillId="0" borderId="27" xfId="0" applyFont="1" applyBorder="1" applyAlignment="1" applyProtection="1">
      <alignment vertical="center"/>
      <protection hidden="1"/>
    </xf>
    <xf numFmtId="0" fontId="8" fillId="0" borderId="0" xfId="0" applyFont="1" applyBorder="1" applyAlignment="1" applyProtection="1">
      <alignment horizontal="right"/>
      <protection hidden="1"/>
    </xf>
    <xf numFmtId="0" fontId="8" fillId="0" borderId="12" xfId="0" applyFont="1" applyBorder="1" applyAlignment="1" applyProtection="1">
      <alignment horizontal="right"/>
      <protection hidden="1"/>
    </xf>
    <xf numFmtId="0" fontId="8" fillId="0" borderId="0" xfId="0" applyFont="1" applyBorder="1" applyAlignment="1" applyProtection="1">
      <alignment horizontal="left"/>
      <protection hidden="1"/>
    </xf>
    <xf numFmtId="0" fontId="8" fillId="0" borderId="12" xfId="0" applyFont="1" applyBorder="1" applyAlignment="1" applyProtection="1">
      <alignment horizontal="left"/>
      <protection hidden="1"/>
    </xf>
    <xf numFmtId="0" fontId="10" fillId="0" borderId="0" xfId="0" applyFont="1" applyBorder="1" applyAlignment="1" applyProtection="1">
      <alignment horizontal="center" vertical="center"/>
      <protection hidden="1"/>
    </xf>
    <xf numFmtId="0" fontId="10" fillId="0" borderId="12" xfId="0" applyFont="1" applyBorder="1" applyAlignment="1" applyProtection="1">
      <alignment horizontal="center" vertical="center"/>
      <protection hidden="1"/>
    </xf>
    <xf numFmtId="0" fontId="12" fillId="0" borderId="27" xfId="0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/>
      <protection locked="0"/>
    </xf>
    <xf numFmtId="0" fontId="15" fillId="0" borderId="29" xfId="0" applyFont="1" applyBorder="1" applyAlignment="1" applyProtection="1">
      <alignment horizontal="center" vertical="center"/>
      <protection hidden="1"/>
    </xf>
    <xf numFmtId="0" fontId="15" fillId="0" borderId="28" xfId="0" applyFont="1" applyBorder="1" applyAlignment="1" applyProtection="1">
      <alignment horizontal="center" vertical="center"/>
      <protection hidden="1"/>
    </xf>
    <xf numFmtId="0" fontId="15" fillId="0" borderId="30" xfId="0" applyFont="1" applyBorder="1" applyAlignment="1" applyProtection="1">
      <alignment horizontal="center" vertical="center"/>
      <protection hidden="1"/>
    </xf>
    <xf numFmtId="0" fontId="15" fillId="0" borderId="31" xfId="0" applyFont="1" applyBorder="1" applyAlignment="1" applyProtection="1">
      <alignment horizontal="center" vertical="center"/>
      <protection hidden="1"/>
    </xf>
    <xf numFmtId="0" fontId="15" fillId="0" borderId="0" xfId="0" applyFont="1" applyBorder="1" applyAlignment="1" applyProtection="1">
      <alignment horizontal="center" vertical="center"/>
      <protection hidden="1"/>
    </xf>
    <xf numFmtId="0" fontId="15" fillId="0" borderId="32" xfId="0" applyFont="1" applyBorder="1" applyAlignment="1" applyProtection="1">
      <alignment horizontal="center" vertical="center"/>
      <protection hidden="1"/>
    </xf>
    <xf numFmtId="0" fontId="9" fillId="0" borderId="12" xfId="0" applyFont="1" applyBorder="1" applyAlignment="1" applyProtection="1">
      <alignment horizontal="center" vertical="center"/>
      <protection hidden="1"/>
    </xf>
    <xf numFmtId="0" fontId="12" fillId="2" borderId="0" xfId="0" applyFont="1" applyFill="1" applyBorder="1" applyAlignment="1" applyProtection="1">
      <alignment horizontal="center" vertical="center"/>
      <protection locked="0"/>
    </xf>
    <xf numFmtId="0" fontId="12" fillId="2" borderId="23" xfId="0" applyFont="1" applyFill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2" fillId="0" borderId="23" xfId="0" applyFont="1" applyBorder="1" applyAlignment="1" applyProtection="1">
      <alignment horizontal="center" vertical="center"/>
      <protection locked="0"/>
    </xf>
    <xf numFmtId="0" fontId="12" fillId="2" borderId="11" xfId="0" applyFont="1" applyFill="1" applyBorder="1" applyAlignment="1" applyProtection="1">
      <alignment horizontal="center" vertical="center"/>
      <protection locked="0"/>
    </xf>
    <xf numFmtId="0" fontId="12" fillId="2" borderId="22" xfId="0" applyFont="1" applyFill="1" applyBorder="1" applyAlignment="1" applyProtection="1">
      <alignment horizontal="center" vertical="center"/>
      <protection locked="0"/>
    </xf>
    <xf numFmtId="0" fontId="13" fillId="0" borderId="6" xfId="0" applyFont="1" applyBorder="1" applyAlignment="1">
      <alignment horizontal="center" vertical="center"/>
    </xf>
    <xf numFmtId="0" fontId="12" fillId="2" borderId="12" xfId="0" applyFont="1" applyFill="1" applyBorder="1" applyAlignment="1" applyProtection="1">
      <alignment horizontal="center" vertical="center"/>
      <protection locked="0"/>
    </xf>
    <xf numFmtId="0" fontId="12" fillId="2" borderId="24" xfId="0" applyFont="1" applyFill="1" applyBorder="1" applyAlignment="1" applyProtection="1">
      <alignment horizontal="center" vertical="center"/>
      <protection locked="0"/>
    </xf>
    <xf numFmtId="0" fontId="12" fillId="0" borderId="25" xfId="0" applyFont="1" applyBorder="1" applyAlignment="1" applyProtection="1">
      <alignment horizontal="center" vertical="center"/>
      <protection locked="0"/>
    </xf>
    <xf numFmtId="0" fontId="12" fillId="2" borderId="25" xfId="0" applyFont="1" applyFill="1" applyBorder="1" applyAlignment="1" applyProtection="1">
      <alignment horizontal="center" vertical="center"/>
      <protection locked="0"/>
    </xf>
    <xf numFmtId="0" fontId="12" fillId="2" borderId="18" xfId="0" applyFont="1" applyFill="1" applyBorder="1" applyAlignment="1" applyProtection="1">
      <alignment horizontal="center" vertical="center"/>
      <protection locked="0"/>
    </xf>
    <xf numFmtId="0" fontId="12" fillId="2" borderId="26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top"/>
    </xf>
    <xf numFmtId="0" fontId="3" fillId="3" borderId="0" xfId="0" applyFont="1" applyFill="1" applyAlignment="1">
      <alignment horizontal="center" vertical="center" wrapText="1"/>
    </xf>
    <xf numFmtId="0" fontId="12" fillId="0" borderId="27" xfId="0" applyFont="1" applyBorder="1" applyAlignment="1" applyProtection="1">
      <alignment horizontal="center" vertical="center"/>
      <protection locked="0"/>
    </xf>
    <xf numFmtId="0" fontId="12" fillId="0" borderId="12" xfId="0" applyFont="1" applyBorder="1" applyProtection="1">
      <protection locked="0"/>
    </xf>
    <xf numFmtId="0" fontId="12" fillId="0" borderId="27" xfId="0" applyFont="1" applyBorder="1" applyProtection="1">
      <protection locked="0"/>
    </xf>
    <xf numFmtId="0" fontId="15" fillId="0" borderId="0" xfId="0" applyFont="1" applyAlignment="1" applyProtection="1">
      <alignment horizontal="center" vertical="center"/>
      <protection hidden="1"/>
    </xf>
    <xf numFmtId="0" fontId="7" fillId="0" borderId="12" xfId="0" applyFont="1" applyBorder="1" applyAlignment="1" applyProtection="1">
      <alignment horizontal="center" vertical="center"/>
      <protection hidden="1"/>
    </xf>
    <xf numFmtId="0" fontId="8" fillId="0" borderId="0" xfId="0" applyFont="1" applyBorder="1" applyAlignment="1" applyProtection="1">
      <alignment horizontal="right" vertical="center"/>
      <protection hidden="1"/>
    </xf>
    <xf numFmtId="0" fontId="8" fillId="0" borderId="12" xfId="0" applyFont="1" applyBorder="1" applyAlignment="1" applyProtection="1">
      <alignment horizontal="right" vertical="center"/>
      <protection hidden="1"/>
    </xf>
    <xf numFmtId="0" fontId="10" fillId="0" borderId="0" xfId="0" applyFont="1" applyBorder="1" applyAlignment="1" applyProtection="1">
      <alignment horizontal="right" vertical="center"/>
      <protection hidden="1"/>
    </xf>
    <xf numFmtId="0" fontId="10" fillId="0" borderId="12" xfId="0" applyFont="1" applyBorder="1" applyAlignment="1" applyProtection="1">
      <alignment horizontal="right" vertical="center"/>
      <protection hidden="1"/>
    </xf>
    <xf numFmtId="0" fontId="8" fillId="0" borderId="0" xfId="0" applyFont="1" applyBorder="1" applyAlignment="1" applyProtection="1">
      <alignment horizontal="left" vertical="center"/>
      <protection hidden="1"/>
    </xf>
    <xf numFmtId="0" fontId="8" fillId="0" borderId="12" xfId="0" applyFont="1" applyBorder="1" applyAlignment="1" applyProtection="1">
      <alignment horizontal="left" vertical="center"/>
      <protection hidden="1"/>
    </xf>
    <xf numFmtId="0" fontId="8" fillId="0" borderId="28" xfId="0" applyFont="1" applyBorder="1" applyAlignment="1" applyProtection="1">
      <alignment horizontal="right" vertical="center"/>
      <protection hidden="1"/>
    </xf>
    <xf numFmtId="0" fontId="8" fillId="0" borderId="0" xfId="0" applyFont="1" applyBorder="1" applyAlignment="1" applyProtection="1">
      <alignment horizontal="center" vertical="center"/>
      <protection hidden="1"/>
    </xf>
    <xf numFmtId="0" fontId="8" fillId="0" borderId="12" xfId="0" applyFont="1" applyBorder="1" applyAlignment="1" applyProtection="1">
      <alignment horizontal="center" vertical="center"/>
      <protection hidden="1"/>
    </xf>
    <xf numFmtId="0" fontId="0" fillId="0" borderId="37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31" xfId="0" applyBorder="1" applyAlignment="1">
      <alignment vertical="center"/>
    </xf>
    <xf numFmtId="0" fontId="0" fillId="0" borderId="32" xfId="0" applyBorder="1" applyAlignment="1">
      <alignment vertical="center"/>
    </xf>
    <xf numFmtId="0" fontId="0" fillId="0" borderId="33" xfId="0" applyBorder="1" applyAlignment="1">
      <alignment vertical="center"/>
    </xf>
    <xf numFmtId="0" fontId="0" fillId="0" borderId="34" xfId="0" applyBorder="1" applyAlignment="1">
      <alignment vertical="center"/>
    </xf>
    <xf numFmtId="0" fontId="1" fillId="0" borderId="31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30" xfId="0" applyFont="1" applyBorder="1" applyAlignment="1">
      <alignment vertical="center"/>
    </xf>
    <xf numFmtId="0" fontId="0" fillId="0" borderId="29" xfId="0" applyBorder="1"/>
    <xf numFmtId="0" fontId="0" fillId="0" borderId="30" xfId="0" applyBorder="1"/>
    <xf numFmtId="0" fontId="0" fillId="0" borderId="33" xfId="0" applyBorder="1"/>
    <xf numFmtId="0" fontId="0" fillId="0" borderId="34" xfId="0" applyBorder="1"/>
    <xf numFmtId="0" fontId="0" fillId="0" borderId="31" xfId="0" applyBorder="1"/>
    <xf numFmtId="0" fontId="0" fillId="0" borderId="32" xfId="0" applyBorder="1"/>
  </cellXfs>
  <cellStyles count="1">
    <cellStyle name="Normal" xfId="0" builtinId="0"/>
  </cellStyles>
  <dxfs count="1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</dxf>
  </dxfs>
  <tableStyles count="0" defaultTableStyle="TableStyleMedium2" defaultPivotStyle="PivotStyleLight16"/>
  <colors>
    <mruColors>
      <color rgb="FFFF9933"/>
      <color rgb="FF0066FF"/>
      <color rgb="FFFF9E6D"/>
      <color rgb="FF6699FF"/>
      <color rgb="FF576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20" Type="http://schemas.openxmlformats.org/officeDocument/2006/relationships/sharedStrings" Target="sharedStrings.xml"/><Relationship Id="rId21" Type="http://schemas.openxmlformats.org/officeDocument/2006/relationships/calcChain" Target="calcChain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theme" Target="theme/theme1.xml"/><Relationship Id="rId19" Type="http://schemas.openxmlformats.org/officeDocument/2006/relationships/styles" Target="style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/>
  <dimension ref="A1:V200"/>
  <sheetViews>
    <sheetView showGridLines="0" tabSelected="1" view="pageLayout" zoomScaleNormal="90" workbookViewId="0">
      <selection activeCell="C130" sqref="C130"/>
    </sheetView>
  </sheetViews>
  <sheetFormatPr baseColWidth="10" defaultColWidth="8.83203125" defaultRowHeight="15" x14ac:dyDescent="0.2"/>
  <cols>
    <col min="1" max="1" width="7.5" customWidth="1"/>
    <col min="2" max="2" width="8.83203125" customWidth="1"/>
    <col min="3" max="3" width="6.5" customWidth="1"/>
    <col min="4" max="4" width="6" hidden="1" customWidth="1"/>
    <col min="5" max="5" width="6" customWidth="1"/>
    <col min="6" max="6" width="11.5" customWidth="1"/>
    <col min="7" max="7" width="13.33203125" customWidth="1"/>
    <col min="8" max="8" width="6.83203125" customWidth="1"/>
    <col min="9" max="9" width="11.6640625" customWidth="1"/>
    <col min="10" max="10" width="11.5" customWidth="1"/>
    <col min="11" max="11" width="11.33203125" customWidth="1"/>
    <col min="14" max="14" width="10.33203125" customWidth="1"/>
    <col min="18" max="18" width="10.6640625" customWidth="1"/>
    <col min="19" max="19" width="9.1640625" customWidth="1"/>
    <col min="22" max="22" width="3.5" customWidth="1"/>
  </cols>
  <sheetData>
    <row r="1" spans="1:22" ht="15" customHeight="1" x14ac:dyDescent="0.2">
      <c r="A1" s="131" t="s">
        <v>0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5" t="s">
        <v>1350</v>
      </c>
      <c r="M1" s="135"/>
      <c r="N1" s="135"/>
      <c r="O1" s="135"/>
      <c r="P1" s="135"/>
      <c r="Q1" s="135"/>
      <c r="R1" s="135"/>
      <c r="S1" s="135"/>
      <c r="T1" s="135"/>
      <c r="U1" s="135"/>
      <c r="V1" s="135"/>
    </row>
    <row r="2" spans="1:22" ht="15" customHeight="1" x14ac:dyDescent="0.2">
      <c r="A2" s="131"/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</row>
    <row r="3" spans="1:22" ht="15" customHeight="1" x14ac:dyDescent="0.2">
      <c r="A3" s="131"/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21"/>
      <c r="M3" s="22"/>
      <c r="N3" s="116" t="s">
        <v>1351</v>
      </c>
      <c r="O3" s="116"/>
      <c r="P3" s="85" t="s">
        <v>1355</v>
      </c>
      <c r="Q3" s="86"/>
      <c r="R3" s="116" t="s">
        <v>1352</v>
      </c>
      <c r="S3" s="116"/>
      <c r="T3" s="22"/>
      <c r="U3" s="21"/>
      <c r="V3" s="23"/>
    </row>
    <row r="4" spans="1:22" ht="15" customHeight="1" x14ac:dyDescent="0.2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88"/>
      <c r="M4" s="89">
        <f>SUMPRODUCT(--(O4=ARTSAOI))</f>
        <v>0</v>
      </c>
      <c r="N4" s="90" t="s">
        <v>178</v>
      </c>
      <c r="O4" s="90" t="str">
        <f t="array" ref="O4">IFERROR(INDEX($D$19:$D$27,SMALL(IF($J$19:$J$27="ARTS AOI",ROW($J$19:$J$27)-ROW($J$19)+1),ROW()-3),1),IFERROR(INDEX($D$19:$D$27,SMALL(IF($I$19:$I$27="ARTS AOI",ROW($I$19:$I$27)-ROW($I$19)+1),ROW()-3),1),IFERROR(INDEX($D$34:$D$42,SMALL(IF($I$34:$I$42="ARTS AOI",ROW($I$34:$I$42)-ROW($I$34)+1),ROW()-3),1),IFERROR(INDEX($D$34:$D$42,SMALL(IF($J$34:$J$42="ARTS AOI",ROW($J$34:$J$42)-ROW($J$34)+1),ROW()-3),1),IFERROR(INDEX($D$54:$D$62,SMALL(IF($I$54:$I$62="ARTS AOI",ROW($I$54:$I$62)-ROW($I$54)+1),ROW()-3),1),IFERROR(INDEX($D$54:$D$62,SMALL(IF($J$54:$J$62="ARTS AOI",ROW($J$54:$J$62)-ROW($J$54)+1),ROW()-3),1),IFERROR(INDEX($D$68:$D$76,SMALL(IF($I$68:$I$76="ARTS AOI",ROW($I$68:$I$76)-ROW($I$68)+1),ROW()-3),1),IFERROR(INDEX($D$68:$D$76,SMALL(IF($J$68:$J$76="ARTS AOI",ROW($J$68:$J$76)-ROW($J$68)+1),ROW()-3),1),IFERROR(INDEX($D$82:$D$90,SMALL(IF($I$82:$I$90="ARTS AOI",ROW($I$82:$I$90)-ROW($I$82)+1),ROW()-3),1),IFERROR(INDEX($D$82:$D$90,SMALL(IF($J$82:$J$90="ARTS AOI",ROW($J$82:$J$90)-ROW($J$82)+1),ROW()-3),1),IFERROR(INDEX($D$104:$D$112,SMALL(IF($I$104:$I$112="ARTS AOI",ROW($I$104:$I$112)-ROW($I$104)+1),ROW()-3),1),IFERROR(INDEX($D$104:$D$112,SMALL(IF($J$104:$J$112="ARTS AOI",ROW($J$104:$J$112)-ROW($J$104)+1),ROW()-3),1),IFERROR(INDEX($D$118:$D$126,SMALL(IF($I$118:$I$126="ARTS AOI",ROW($I$118:$I$126)-ROW($I$118)+1),ROW()-3),1),IFERROR(INDEX($D$118:$D$126,SMALL(IF($J$118:$J$126="ARTS AOI",ROW($J$118:$J$126)-ROW($J$118)+1),ROW()-3),1),IFERROR(INDEX($D$132:$D$140,SMALL(IF($I$132:$I$140="ARTS AOI",ROW($I$132:$I$140)-ROW($I$132)+1),ROW()-3),1),IFERROR(INDEX($D$132:$D$140,SMALL(IF($J$132:$J$140="ARTS AOI",ROW($J$132:$J$140)-ROW($J$132)+1),ROW()-3),1),IFERROR(INDEX($D$154:$D$162,SMALL(IF($I$154:$I$162="ARTS AOI",ROW($I$154:$I$162)-ROW($I$154)+1),ROW()-3),1),IFERROR(INDEX($D$154:$D$162,SMALL(IF($J$154:$J$162="ARTS AOI",ROW($J$154:$J$162)-ROW($J$154)+1),ROW()-3),1),IFERROR(INDEX($D$168:$D$176,SMALL(IF($I$168:$I$176="ARTS AOI",ROW($I$168:$I$176)-ROW($I$168)+1),ROW()-3),1),IFERROR(INDEX($D$168:$D$176,SMALL(IF($J$168:$J$176="ARTS AOI",ROW($J$168:$J$176)-ROW($J$168)+1),ROW()-3),1),IFERROR(INDEX($D$183:$D$191,SMALL(IF($I$183:$I$191="ARTS AOI",ROW($I$183:$I$191)-ROW($I$183)+1),ROW()-3),1),IFERROR(INDEX($D$183:$D$191,SMALL(IF($J$183:$J$191="ARTS AOI",ROW($J$183:$J$191)-ROW($J$183)+1),ROW()-3),1),""))))))))))))))))))))))</f>
        <v/>
      </c>
      <c r="P4" s="90"/>
      <c r="Q4" s="89">
        <f t="array" ref="Q4">SUMPRODUCT(--($D$19:$D$27="HONR 100")+($D$34:$D$42="HONR 100")+($D$54:$D$62="HONR 100")+($D$68:$D$76="HONR 100")+($D$82:$D$90="HONR 100")+($D$104:$D$112="HONR 100")+($D$118:$D$126="HONR 100")+($D$132:$D$140="HONR 100")+($D$154:$D$162="HONR 100")+($D$168:$D$176="HONR 100")+($D$183:$D$191="HONR 100"))</f>
        <v>0</v>
      </c>
      <c r="R4" s="90" t="s">
        <v>1323</v>
      </c>
      <c r="S4" s="90"/>
      <c r="T4" s="90"/>
      <c r="U4" s="90"/>
      <c r="V4" s="91"/>
    </row>
    <row r="5" spans="1:22" ht="15" customHeight="1" x14ac:dyDescent="0.2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88"/>
      <c r="M5" s="89">
        <f>SUMPRODUCT(--(O5=CITZAOI))</f>
        <v>0</v>
      </c>
      <c r="N5" s="90" t="s">
        <v>179</v>
      </c>
      <c r="O5" s="90" t="str">
        <f t="array" ref="O5">IFERROR(INDEX($D$19:$D$27,SMALL(IF($J$19:$J$27="CITZ AOI",ROW($J$19:$J$27)-ROW($J$19)+1),ROW()-4),1),IFERROR(INDEX($D$19:$D$27,SMALL(IF($I$19:$I$27="CITZ AOI",ROW($I$19:$I$27)-ROW($I$19)+1),ROW()-4),1),IFERROR(INDEX($D$34:$D$42,SMALL(IF($I$34:$I$42="CITZ AOI",ROW($I$34:$I$42)-ROW($I$34)+1),ROW()-4),1),IFERROR(INDEX($D$34:$D$42,SMALL(IF($J$34:$J$42="CITZ AOI",ROW($J$34:$J$42)-ROW($J$34)+1),ROW()-4),1),IFERROR(INDEX($D$54:$D$62,SMALL(IF($I$54:$I$62="CITZ AOI",ROW($I$54:$I$62)-ROW($I$54)+1),ROW()-4),1),IFERROR(INDEX($D$54:$D$62,SMALL(IF($J$54:$J$62="CITZ AOI",ROW($J$54:$J$62)-ROW($J$54)+1),ROW()-4),1),IFERROR(INDEX($D$68:$D$76,SMALL(IF($I$68:$I$76="CITZ AOI",ROW($I$68:$I$76)-ROW($I$68)+1),ROW()-4),1),IFERROR(INDEX($D$68:$D$76,SMALL(IF($J$68:$J$76="CITZ AOI",ROW($J$68:$J$76)-ROW($J$68)+1),ROW()-4),1),IFERROR(INDEX($D$82:$D$90,SMALL(IF($I$82:$I$90="CITZ AOI",ROW($I$82:$I$90)-ROW($I$82)+1),ROW()-4),1),IFERROR(INDEX($D$82:$D$90,SMALL(IF($J$82:$J$90="CITZ AOI",ROW($J$82:$J$90)-ROW($J$82)+1),ROW()-4),1),IFERROR(INDEX($D$104:$D$112,SMALL(IF($I$104:$I$112="CITZ AOI",ROW($I$104:$I$112)-ROW($I$104)+1),ROW()-4),1),IFERROR(INDEX($D$104:$D$112,SMALL(IF($J$104:$J$112="CITZ AOI",ROW($J$104:$J$112)-ROW($J$104)+1),ROW()-4),1),IFERROR(INDEX($D$118:$D$126,SMALL(IF($I$118:$I$126="CITZ AOI",ROW($I$118:$I$126)-ROW($I$118)+1),ROW()-4),1),IFERROR(INDEX($D$118:$D$126,SMALL(IF($J$118:$J$126="CITZ AOI",ROW($J$118:$J$126)-ROW($J$118)+1),ROW()-4),1),IFERROR(INDEX($D$132:$D$140,SMALL(IF($I$132:$I$140="CITZ AOI",ROW($I$132:$I$140)-ROW($I$132)+1),ROW()-4),1),IFERROR(INDEX($D$132:$D$140,SMALL(IF($J$132:$J$140="CITZ AOI",ROW($J$132:$J$140)-ROW($J$132)+1),ROW()-4),1),IFERROR(INDEX($D$154:$D$162,SMALL(IF($I$154:$I$162="CITZ AOI",ROW($I$154:$I$162)-ROW($I$154)+1),ROW()-4),1),IFERROR(INDEX($D$154:$D$162,SMALL(IF($J$154:$J$162="CITZ AOI",ROW($J$154:$J$162)-ROW($J$154)+1),ROW()-4),1),IFERROR(INDEX($D$168:$D$176,SMALL(IF($I$168:$I$176="CITZ AOI",ROW($I$168:$I$176)-ROW($I$168)+1),ROW()-4),1),IFERROR(INDEX($D$168:$D$176,SMALL(IF($J$168:$J$176="CITZ AOI",ROW($J$168:$J$176)-ROW($J$168)+1),ROW()-4),1),IFERROR(INDEX($D$183:$D$191,SMALL(IF($I$183:$I$191="CITZ AOI",ROW($I$183:$I$191)-ROW($I$183)+1),ROW()-4),1),IFERROR(INDEX($D$183:$D$191,SMALL(IF($J$183:$J$191="CITZ AOI",ROW($J$183:$J$191)-ROW($J$183)+1),ROW()-4),1),""))))))))))))))))))))))</f>
        <v/>
      </c>
      <c r="P5" s="90"/>
      <c r="Q5" s="89">
        <f>SUMPRODUCT(--(S5=ARTSAOI))</f>
        <v>0</v>
      </c>
      <c r="R5" s="90" t="s">
        <v>178</v>
      </c>
      <c r="S5" s="90" t="str">
        <f t="array" ref="S5">IFERROR(INDEX($D$19:$D$27,SMALL(IF($J$19:$J$27="ARTS AOI",ROW($J$19:$J$27)-ROW($J$19)+1),ROW()-4),1),IFERROR(INDEX($D$19:$D$27,SMALL(IF($I$19:$I$27="ARTS AOI",ROW($I$19:$I$27)-ROW($I$19)+1),ROW()-4),1),IFERROR(INDEX($D$34:$D$42,SMALL(IF($I$34:$I$42="ARTS AOI",ROW($I$34:$I$42)-ROW($I$34)+1),ROW()-4),1),IFERROR(INDEX($D$34:$D$42,SMALL(IF($J$34:$J$42="ARTS AOI",ROW($J$34:$J$42)-ROW($J$34)+1),ROW()-4),1),IFERROR(INDEX($D$54:$D$62,SMALL(IF($I$54:$I$62="ARTS AOI",ROW($I$54:$I$62)-ROW($I$54)+1),ROW()-4),1),IFERROR(INDEX($D$54:$D$62,SMALL(IF($J$54:$J$62="ARTS AOI",ROW($J$54:$J$62)-ROW($J$54)+1),ROW()-4),1),IFERROR(INDEX($D$68:$D$76,SMALL(IF($I$68:$I$76="ARTS AOI",ROW($I$68:$I$76)-ROW($I$68)+1),ROW()-4),1),IFERROR(INDEX($D$68:$D$76,SMALL(IF($J$68:$J$76="ARTS AOI",ROW($J$68:$J$76)-ROW($J$68)+1),ROW()-4),1),IFERROR(INDEX($D$82:$D$90,SMALL(IF($I$82:$I$90="ARTS AOI",ROW($I$82:$I$90)-ROW($I$82)+1),ROW()-4),1),IFERROR(INDEX($D$82:$D$90,SMALL(IF($J$82:$J$90="ARTS AOI",ROW($J$82:$J$90)-ROW($J$82)+1),ROW()-4),1),IFERROR(INDEX($D$104:$D$112,SMALL(IF($I$104:$I$112="ARTS AOI",ROW($I$104:$I$112)-ROW($I$104)+1),ROW()-4),1),IFERROR(INDEX($D$104:$D$112,SMALL(IF($J$104:$J$112="ARTS AOI",ROW($J$104:$J$112)-ROW($J$104)+1),ROW()-4),1),IFERROR(INDEX($D$118:$D$126,SMALL(IF($I$118:$I$126="ARTS AOI",ROW($I$118:$I$126)-ROW($I$118)+1),ROW()-4),1),IFERROR(INDEX($D$118:$D$126,SMALL(IF($J$118:$J$126="ARTS AOI",ROW($J$118:$J$126)-ROW($J$118)+1),ROW()-4),1),IFERROR(INDEX($D$132:$D$140,SMALL(IF($I$132:$I$140="ARTS AOI",ROW($I$132:$I$140)-ROW($I$132)+1),ROW()-4),1),IFERROR(INDEX($D$132:$D$140,SMALL(IF($J$132:$J$140="ARTS AOI",ROW($J$132:$J$140)-ROW($J$132)+1),ROW()-4),1),IFERROR(INDEX($D$154:$D$162,SMALL(IF($I$154:$I$162="ARTS AOI",ROW($I$154:$I$162)-ROW($I$154)+1),ROW()-4),1),IFERROR(INDEX($D$154:$D$162,SMALL(IF($J$154:$J$162="ARTS AOI",ROW($J$154:$J$162)-ROW($J$154)+1),ROW()-4),1),IFERROR(INDEX($D$168:$D$176,SMALL(IF($I$168:$I$176="ARTS AOI",ROW($I$168:$I$176)-ROW($I$168)+1),ROW()-4),1),IFERROR(INDEX($D$168:$D$176,SMALL(IF($J$168:$J$176="ARTS AOI",ROW($J$168:$J$176)-ROW($J$168)+1),ROW()-4),1),IFERROR(INDEX($D$183:$D$191,SMALL(IF($I$183:$I$191="ARTS AOI",ROW($I$183:$I$191)-ROW($I$183)+1),ROW()-4),1),IFERROR(INDEX($D$183:$D$191,SMALL(IF($J$183:$J$191="ARTS AOI",ROW($J$183:$J$191)-ROW($J$183)+1),ROW()-4),1),""))))))))))))))))))))))</f>
        <v/>
      </c>
      <c r="T5" s="90"/>
      <c r="U5" s="90"/>
      <c r="V5" s="91"/>
    </row>
    <row r="6" spans="1:22" ht="15" customHeight="1" x14ac:dyDescent="0.2">
      <c r="A6" s="130" t="s">
        <v>1376</v>
      </c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88"/>
      <c r="M6" s="89">
        <f t="array" ref="M6">SUMPRODUCT(--(O6=CRITAOI))</f>
        <v>0</v>
      </c>
      <c r="N6" s="90" t="s">
        <v>180</v>
      </c>
      <c r="O6" s="90" t="str">
        <f t="array" ref="O6">IFERROR(INDEX($D$19:$D$27,SMALL(IF($J$19:$J$27="CRIT AOI",ROW($J$19:$J$27)-ROW($J$19)+1),ROW()-5),1),IFERROR(INDEX($D$19:$D$27,SMALL(IF($I$19:$I$27="CRIT AOI",ROW($I$19:$I$27)-ROW($I$19)+1),ROW()-5),1),IFERROR(INDEX($D$34:$D$42,SMALL(IF($I$34:$I$42="CRIT AOI",ROW($I$34:$I$42)-ROW($I$34)+1),ROW()-5),1),IFERROR(INDEX($D$34:$D$42,SMALL(IF($J$34:$J$42="CRIT AOI",ROW($J$34:$J$42)-ROW($J$34)+1),ROW()-5),1),IFERROR(INDEX($D$54:$D$62,SMALL(IF($I$54:$I$62="CRIT AOI",ROW($I$54:$I$62)-ROW($I$54)+1),ROW()-5),1),IFERROR(INDEX($D$54:$D$62,SMALL(IF($J$54:$J$62="CRIT AOI",ROW($J$54:$J$62)-ROW($J$54)+1),ROW()-5),1),IFERROR(INDEX($D$68:$D$76,SMALL(IF($I$68:$I$76="CRIT AOI",ROW($I$68:$I$76)-ROW($I$68)+1),ROW()-5),1),IFERROR(INDEX($D$68:$D$76,SMALL(IF($J$68:$J$76="CRIT AOI",ROW($J$68:$J$76)-ROW($J$68)+1),ROW()-5),1),IFERROR(INDEX($D$82:$D$90,SMALL(IF($I$82:$I$90="CRIT AOI",ROW($I$82:$I$90)-ROW($I$82)+1),ROW()-5),1),IFERROR(INDEX($D$82:$D$90,SMALL(IF($J$82:$J$90="CRIT AOI",ROW($J$82:$J$90)-ROW($J$82)+1),ROW()-5),1),IFERROR(INDEX($D$104:$D$112,SMALL(IF($I$104:$I$112="CRIT AOI",ROW($I$104:$I$112)-ROW($I$104)+1),ROW()-5),1),IFERROR(INDEX($D$104:$D$112,SMALL(IF($J$104:$J$112="CRIT AOI",ROW($J$104:$J$112)-ROW($J$104)+1),ROW()-5),1),IFERROR(INDEX($D$118:$D$126,SMALL(IF($I$118:$I$126="CRIT AOI",ROW($I$118:$I$126)-ROW($I$118)+1),ROW()-5),1),IFERROR(INDEX($D$118:$D$126,SMALL(IF($J$118:$J$126="CRIT AOI",ROW($J$118:$J$126)-ROW($J$118)+1),ROW()-5),1),IFERROR(INDEX($D$132:$D$140,SMALL(IF($I$132:$I$140="CRIT AOI",ROW($I$132:$I$140)-ROW($I$132)+1),ROW()-5),1),IFERROR(INDEX($D$132:$D$140,SMALL(IF($J$132:$J$140="CRIT AOI",ROW($J$132:$J$140)-ROW($J$132)+1),ROW()-5),1),IFERROR(INDEX($D$154:$D$162,SMALL(IF($I$154:$I$162="CRIT AOI",ROW($I$154:$I$162)-ROW($I$154)+1),ROW()-5),1),IFERROR(INDEX($D$154:$D$162,SMALL(IF($J$154:$J$162="CRIT AOI",ROW($J$154:$J$162)-ROW($J$154)+1),ROW()-5),1),IFERROR(INDEX($D$168:$D$176,SMALL(IF($I$168:$I$176="CRIT AOI",ROW($I$168:$I$176)-ROW($I$168)+1),ROW()-5),1),IFERROR(INDEX($D$168:$D$176,SMALL(IF($J$168:$J$176="CRIT AOI",ROW($J$168:$J$176)-ROW($J$168)+1),ROW()-5),1),IFERROR(INDEX($D$183:$D$191,SMALL(IF($I$183:$I$191="CRIT AOI",ROW($I$183:$I$191)-ROW($I$183)+1),ROW()-5),1),IFERROR(INDEX($D$183:$D$191,SMALL(IF($J$183:$J$191="CRIT AOI",ROW($J$183:$J$191)-ROW($J$183)+1),ROW()-5),1),""))))))))))))))))))))))</f>
        <v/>
      </c>
      <c r="P6" s="90"/>
      <c r="Q6" s="89">
        <f>SUMPRODUCT(--(S6=QUANAOI))</f>
        <v>0</v>
      </c>
      <c r="R6" s="90" t="s">
        <v>186</v>
      </c>
      <c r="S6" s="90" t="str">
        <f t="array" ref="S6">IFERROR(INDEX($D$19:$D$27,SMALL(IF($J$19:$J$27="QUAN AOI",ROW($J$19:$J$27)-ROW($J$19)+1),ROW()-5),1),IFERROR(INDEX($D$19:$D$27,SMALL(IF($I$19:$I$27="QUAN AOI",ROW($I$19:$I$27)-ROW($I$19)+1),ROW()-5),1),IFERROR(INDEX($D$34:$D$42,SMALL(IF($I$34:$I$42="QUAN AOI",ROW($I$34:$I$42)-ROW($I$34)+1),ROW()-5),1),IFERROR(INDEX($D$34:$D$42,SMALL(IF($J$34:$J$42="QUAN AOI",ROW($J$34:$J$42)-ROW($J$34)+1),ROW()-5),1),IFERROR(INDEX($D$54:$D$62,SMALL(IF($I$54:$I$62="QUAN AOI",ROW($I$54:$I$62)-ROW($I$54)+1),ROW()-5),1),IFERROR(INDEX($D$54:$D$62,SMALL(IF($J$54:$J$62="QUAN AOI",ROW($J$54:$J$62)-ROW($J$54)+1),ROW()-5),1),IFERROR(INDEX($D$68:$D$76,SMALL(IF($I$68:$I$76="QUAN AOI",ROW($I$68:$I$76)-ROW($I$68)+1),ROW()-5),1),IFERROR(INDEX($D$68:$D$76,SMALL(IF($J$68:$J$76="QUAN AOI",ROW($J$68:$J$76)-ROW($J$68)+1),ROW()-5),1),IFERROR(INDEX($D$82:$D$90,SMALL(IF($I$82:$I$90="QUAN AOI",ROW($I$82:$I$90)-ROW($I$82)+1),ROW()-5),1),IFERROR(INDEX($D$82:$D$90,SMALL(IF($J$82:$J$90="QUAN AOI",ROW($J$82:$J$90)-ROW($J$82)+1),ROW()-5),1),IFERROR(INDEX($D$104:$D$112,SMALL(IF($I$104:$I$112="QUAN AOI",ROW($I$104:$I$112)-ROW($I$104)+1),ROW()-5),1),IFERROR(INDEX($D$104:$D$112,SMALL(IF($J$104:$J$112="QUAN AOI",ROW($J$104:$J$112)-ROW($J$104)+1),ROW()-5),1),IFERROR(INDEX($D$118:$D$126,SMALL(IF($I$118:$I$126="QUAN AOI",ROW($I$118:$I$126)-ROW($I$118)+1),ROW()-5),1),IFERROR(INDEX($D$118:$D$126,SMALL(IF($J$118:$J$126="QUAN AOI",ROW($J$118:$J$126)-ROW($J$118)+1),ROW()-5),1),IFERROR(INDEX($D$132:$D$140,SMALL(IF($I$132:$I$140="QUAN AOI",ROW($I$132:$I$140)-ROW($I$132)+1),ROW()-5),1),IFERROR(INDEX($D$132:$D$140,SMALL(IF($J$132:$J$140="QUAN AOI",ROW($J$132:$J$140)-ROW($J$132)+1),ROW()-5),1),IFERROR(INDEX($D$154:$D$162,SMALL(IF($I$154:$I$162="QUAN AOI",ROW($I$154:$I$162)-ROW($I$154)+1),ROW()-5),1),IFERROR(INDEX($D$154:$D$162,SMALL(IF($J$154:$J$162="QUAN AOI",ROW($J$154:$J$162)-ROW($J$154)+1),ROW()-5),1),IFERROR(INDEX($D$168:$D$176,SMALL(IF($I$168:$I$176="QUAN AOI",ROW($I$168:$I$176)-ROW($I$168)+1),ROW()-5),1),IFERROR(INDEX($D$168:$D$176,SMALL(IF($J$168:$J$176="QUAN AOI",ROW($J$168:$J$176)-ROW($J$168)+1),ROW()-5),1),IFERROR(INDEX($D$183:$D$191,SMALL(IF($I$183:$I$191="QUAN AOI",ROW($I$183:$I$191)-ROW($I$183)+1),ROW()-5),1),IFERROR(INDEX($D$183:$D$191,SMALL(IF($J$183:$J$191="QUAN AOI",ROW($J$183:$J$191)-ROW($J$183)+1),ROW()-5),1),""))))))))))))))))))))))</f>
        <v/>
      </c>
      <c r="T6" s="90"/>
      <c r="U6" s="90"/>
      <c r="V6" s="91"/>
    </row>
    <row r="7" spans="1:22" ht="15" customHeight="1" x14ac:dyDescent="0.2">
      <c r="A7" s="130"/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88"/>
      <c r="M7" s="89">
        <f>SUMPRODUCT(--(ISNUMBER(FIND("FYS",O7))))</f>
        <v>0</v>
      </c>
      <c r="N7" s="90" t="s">
        <v>181</v>
      </c>
      <c r="O7" s="90" t="str">
        <f t="array" ref="O7">IFERROR(INDEX(D19:D27,SMALL(IF($B$19:$B$27="FYS",ROW($B$19:$B$27)-ROW($B$19)+1),ROW()-6),1),IFERROR(INDEX($D$34:$D$42,SMALL(IF($B$34:$B$42="FYS",ROW($B$34:$B$42)-ROW($B$34)+1),ROW()-6),1),IFERROR(INDEX(D54:D62,SMALL(IF(B54:B62="FYS",ROW(B54:B62)-ROW(B54)+1),ROW()-6),1),IFERROR(INDEX(D68:D76,SMALL(IF(B68:B76="FYS",ROW(B68:B76)-ROW(B68)+1),ROW()-6),1),IFERROR(INDEX(D82:D90,SMALL(IF(B82:B90="FYS",ROW(B82:B90)-ROW(B82)+1),ROW()-6),1),IFERROR(INDEX(D104:D112,SMALL(IF(B104:B112="FYS",ROW(B104:B112)-ROW(B104)+1),ROW()-6),1),IFERROR(INDEX(D118:D126,SMALL(IF(B118:B126="FYS",ROW(B118:B126)-ROW(B118)+1),ROW()-6),1),IFERROR(INDEX(D132:D140,SMALL(IF(B132:B140="FYS",ROW(B132:B140)-ROW(B132)+1),ROW()-6),1),IFERROR(INDEX(D154:D162,SMALL(IF(B154:B162="FYS",ROW(B154:B162)-ROW(B154)+1),ROW()-6),1),IFERROR(INDEX(D168:D176,SMALL(IF(B168:B176="FYS",ROW(B168:B176)-ROW(B168)+1),ROW()-6),1),IFERROR(INDEX(D183:D191,SMALL(IF(B183:B191="FYS",ROW(B183:B191)-ROW(B183)+1),ROW()-6),1),"")))))))))))</f>
        <v/>
      </c>
      <c r="P7" s="90"/>
      <c r="Q7" s="89">
        <f>SUMPRODUCT(--(OR(S7=LIFEAOI,S7=PHSCAOI)))</f>
        <v>0</v>
      </c>
      <c r="R7" s="90" t="s">
        <v>1325</v>
      </c>
      <c r="S7" s="90" t="str">
        <f t="array" ref="S7">IFERROR(INDEX($D$19:$D$27,SMALL(IF(($J$19:$J$27="LIFE AOI")+(J19:J27="PHSC AOI"),ROW($J$19:$J$27)-ROW($J$19)+1),ROW()-6),1),IFERROR(INDEX($D$19:$D$27,SMALL(IF(($I$19:$I$27="LIFE AOI")+(I19:I27="PHSC AOI"),ROW($I$19:$I$27)-ROW($I$19)+1),ROW()-6),1),IFERROR(INDEX($D$34:$D$42,SMALL(IF(($I$34:$I$42="LIFE AOI")+(I34:I42="PHSC AOI"),ROW($I$34:$I$42)-ROW($I$34)+1),ROW()-6),1),IFERROR(INDEX($D$34:$D$42,SMALL(IF(($J$34:$J$42="LIFE AOI")+($J$34:$J$42="PHSC AOI"),ROW($J$34:$J$42)-ROW($J$34)+1),ROW()-6),1),IFERROR(INDEX($D$54:$D$62,SMALL(IF(($I$54:$I$62="LIFE AOI")+($I$54:$I$62="PHSC AOI"),ROW($I$54:$I$62)-ROW($I$54)+1),ROW()-6),1),IFERROR(INDEX($D$54:$D$62,SMALL(IF(($J$54:$J$62="LIFE AOI")+($J$54:$J$62="PHSC AOI"),ROW($J$54:$J$62)-ROW($J$54)+1),ROW()-6),1),IFERROR(INDEX($D$68:$D$76,SMALL(IF(($I$68:$I$76="LIFE AOI")+($I$68:$I$76="PHSC AOI"),ROW($I$68:$I$76)-ROW($I$68)+1),ROW()-6),1),IFERROR(INDEX($D$68:$D$76,SMALL(IF(($J$68:$J$76="LIFE AOI")+($J$68:$J$76="PHSC AOI"),ROW($J$68:$J$76)-ROW($J$68)+1),ROW()-6),1),IFERROR(INDEX($D$82:$D$90,SMALL(IF(($I$82:$I$90="LIFE AOI")+($I$82:$I$90="PHSC AOI"),ROW($I$82:$I$90)-ROW($I$82)+1),ROW()-6),1),IFERROR(INDEX($D$82:$D$90,SMALL(IF(($J$82:$J$90="LIFE AOI")+($J$82:$J$90="PHSC AOI"),ROW($J$82:$J$90)-ROW($J$82)+1),ROW()-6),1),IFERROR(INDEX($D$104:$D$112,SMALL(IF(($I$104:$I$112="LIFE AOI")+($I$104:$I$112="PHSC AOI"),ROW($I$104:$I$112)-ROW($I$104)+1),ROW()-6),1),IFERROR(INDEX($D$104:$D$112,SMALL(IF(($J$104:$J$112="LIFE AOI")+($J$104:$J$112="PHSC AOI"),ROW($J$104:$J$112)-ROW($J$104)+1),ROW()-6),1),IFERROR(INDEX($D$118:$D$126,SMALL(IF(($I$118:$I$126="LIFE AOI")+($I$118:$I$126="PHSC AOI"),ROW($I$118:$I$126)-ROW($I$118)+1),ROW()-6),1),IFERROR(INDEX($D$118:$D$126,SMALL(IF(($J$118:$J$126="LIFE AOI")+($J$118:$J$126="PHSC AOI"),ROW($J$118:$J$126)-ROW($J$118)+1),ROW()-6),1),IFERROR(INDEX($D$132:$D$140,SMALL(IF(($I$132:$I$140="LIFE AOI")+($I$132:$I$140="PHSC AOI"),ROW($I$132:$I$140)-ROW($I$132)+1),ROW()-6),1),IFERROR(INDEX($D$132:$D$140,SMALL(IF(($J$132:$J$140="LIFE AOI")+($J$132:$J$140="PHSC AOI"),ROW($J$132:$J$140)-ROW($J$132)+1),ROW()-6),1),IFERROR(INDEX($D$154:$D$162,SMALL(IF(($I$154:$I$162="LIFE AOI")+($I$154:$I$162="PHSC AOI"),ROW($I$154:$I$162)-ROW($I$154)+1),ROW()-6),1),IFERROR(INDEX($D$154:$D$162,SMALL(IF(($J$154:$J$162="LIFE AOI")+($J$154:$J$162="PHSC AOI"),ROW($J$154:$J$162)-ROW($J$154)+1),ROW()-6),1),IFERROR(INDEX($D$168:$D$176,SMALL(IF(($I$168:$I$176="LIFE AOI")+($I$168:$I$176="PHSC AOI"),ROW($I$168:$I$176)-ROW($I$168)+1),ROW()-6),1),IFERROR(INDEX($D$168:$D$176,SMALL(IF(($J$168:$J$176="LIFE AOI")+($J$168:$J$176="PHSC AOI"),ROW($J$168:$J$176)-ROW($J$168)+1),ROW()-6),1),IFERROR(INDEX($D$183:$D$191,SMALL(IF(($I$183:$I$191="LIFE AOI")+($I$183:$I$191="PHSC AOI"),ROW($I$183:$I$191)-ROW($I$183)+1),ROW()-6),1),IFERROR(INDEX($D$183:$D$191,SMALL(IF(($J$183:$J$191="LIFE AOI")+($J$183:$J$191="PHSC AOI"),ROW($J$183:$J$191)-ROW($J$183)+1),ROW()-6),1),""))))))))))))))))))))))</f>
        <v/>
      </c>
      <c r="T7" s="90" t="str">
        <f t="array" ref="T7">IFERROR(INDEX($D$19:$D$27,SMALL(IF($J$19:$J$27=OR("PHSC AOI","LIFE AOI"),ROW($J$19:$J$27)-ROW($J$19)+1),ROW()-12),1),IFERROR(INDEX($D$19:$D$27,SMALL(IF($I$19:$I$27=OR("PHSC AOI","LIFE AOI"),ROW($I$19:$I$27)-ROW($I$19)+1),ROW()-12),1),IFERROR(INDEX($D$34:$D$42,SMALL(IF($I$34:$I$42="PHSC AOI",ROW($I$34:$I$42)-ROW($I$34)+1),ROW()-12),1),IFERROR(INDEX($D$34:$D$42,SMALL(IF($J$34:$J$42="PHSC AOI",ROW($J$34:$J$42)-ROW($J$34)+1),ROW()-12),1),IFERROR(INDEX($D$54:$D$62,SMALL(IF($I$54:$I$62="PHSC AOI",ROW($I$54:$I$62)-ROW($I$54)+1),ROW()-12),1),IFERROR(INDEX($D$54:$D$62,SMALL(IF($J$54:$J$62="PHSC AOI",ROW($J$54:$J$62)-ROW($J$54)+1),ROW()-12),1),IFERROR(INDEX($D$68:$D$76,SMALL(IF($I$68:$I$76="PHSC AOI",ROW($I$68:$I$76)-ROW($I$68)+1),ROW()-12),1),IFERROR(INDEX($D$68:$D$76,SMALL(IF($J$68:$J$76="PHSC AOI",ROW($J$68:$J$76)-ROW($J$68)+1),ROW()-12),1),IFERROR(INDEX($D$82:$D$90,SMALL(IF($I$82:$I$90="PHSC AOI",ROW($I$82:$I$90)-ROW($I$82)+1),ROW()-12),1),IFERROR(INDEX($D$82:$D$90,SMALL(IF($J$82:$J$90="PHSC AOI",ROW($J$82:$J$90)-ROW($J$82)+1),ROW()-12),1),IFERROR(INDEX($D$104:$D$112,SMALL(IF($I$104:$I$112="PHSC AOI",ROW($I$104:$I$112)-ROW($I$104)+1),ROW()-12),1),IFERROR(INDEX($D$104:$D$112,SMALL(IF($J$104:$J$112="PHSC AOI",ROW($J$104:$J$112)-ROW($J$104)+1),ROW()-12),1),IFERROR(INDEX($D$118:$D$126,SMALL(IF($I$118:$I$126="PHSC AOI",ROW($I$118:$I$126)-ROW($I$118)+1),ROW()-12),1),IFERROR(INDEX($D$118:$D$126,SMALL(IF($J$118:$J$126="PHSC AOI",ROW($J$118:$J$126)-ROW($J$118)+1),ROW()-12),1),IFERROR(INDEX($D$132:$D$140,SMALL(IF($I$132:$I$140="PHSC AOI",ROW($I$132:$I$140)-ROW($I$132)+1),ROW()-12),1),IFERROR(INDEX($D$132:$D$140,SMALL(IF($J$132:$J$140="PHSC AOI",ROW($J$132:$J$140)-ROW($J$132)+1),ROW()-12),1),IFERROR(INDEX($D$154:$D$162,SMALL(IF($I$154:$I$162="PHSC AOI",ROW($I$154:$I$162)-ROW($I$154)+1),ROW()-12),1),IFERROR(INDEX($D$154:$D$162,SMALL(IF($J$154:$J$162="PHSC AOI",ROW($J$154:$J$162)-ROW($J$154)+1),ROW()-12),1),IFERROR(INDEX($D$168:$D$176,SMALL(IF($I$168:$I$176="PHSC AOI",ROW($I$168:$I$176)-ROW($I$168)+1),ROW()-12),1),IFERROR(INDEX($D$168:$D$176,SMALL(IF($J$168:$J$176="PHSC AOI",ROW($J$168:$J$176)-ROW($J$168)+1),ROW()-12),1),IFERROR(INDEX($D$183:$D$191,SMALL(IF($I$183:$I$191="PHSC AOI",ROW($I$183:$I$191)-ROW($I$183)+1),ROW()-12),1),IFERROR(INDEX($D$183:$D$191,SMALL(IF($J$183:$J$191="PHSC AOI",ROW($J$183:$J$191)-ROW($J$183)+1),ROW()-12),1),""))))))))))))))))))))))</f>
        <v/>
      </c>
      <c r="U7" s="90"/>
      <c r="V7" s="91"/>
    </row>
    <row r="8" spans="1:22" ht="15" customHeight="1" x14ac:dyDescent="0.2">
      <c r="A8" s="37"/>
      <c r="B8" s="38"/>
      <c r="C8" s="38"/>
      <c r="D8" s="38"/>
      <c r="E8" s="38"/>
      <c r="F8" s="38"/>
      <c r="G8" s="38"/>
      <c r="H8" s="38"/>
      <c r="I8" s="38"/>
      <c r="J8" s="38"/>
      <c r="K8" s="37"/>
      <c r="L8" s="88"/>
      <c r="M8" s="89">
        <f>SUMPRODUCT(--(O8=GLOBAOI))</f>
        <v>0</v>
      </c>
      <c r="N8" s="90" t="s">
        <v>182</v>
      </c>
      <c r="O8" s="90" t="str">
        <f t="array" ref="O8">IFERROR(INDEX($D$19:$D$27,SMALL(IF($J$19:$J$27="GLOB AOI",ROW($J$19:$J$27)-ROW($J$19)+1),ROW()-7),1),IFERROR(INDEX($D$19:$D$27,SMALL(IF($I$19:$I$27="GLOB AOI",ROW($I$19:$I$27)-ROW($I$19)+1),ROW()-7),1),IFERROR(INDEX($D$34:$D$42,SMALL(IF($I$34:$I$42="GLOB AOI",ROW($I$34:$I$42)-ROW($I$34)+1),ROW()-7),1),IFERROR(INDEX($D$34:$D$42,SMALL(IF($J$34:$J$42="GLOB AOI",ROW($J$34:$J$42)-ROW($J$34)+1),ROW()-7),1),IFERROR(INDEX($D$54:$D$62,SMALL(IF($I$54:$I$62="GLOB AOI",ROW($I$54:$I$62)-ROW($I$54)+1),ROW()-7),1),IFERROR(INDEX($D$54:$D$62,SMALL(IF($J$54:$J$62="GLOB AOI",ROW($J$54:$J$62)-ROW($J$54)+1),ROW()-7),1),IFERROR(INDEX($D$68:$D$76,SMALL(IF($I$68:$I$76="GLOB AOI",ROW($I$68:$I$76)-ROW($I$68)+1),ROW()-7),1),IFERROR(INDEX($D$68:$D$76,SMALL(IF($J$68:$J$76="GLOB AOI",ROW($J$68:$J$76)-ROW($J$68)+1),ROW()-7),1),IFERROR(INDEX($D$82:$D$90,SMALL(IF($I$82:$I$90="GLOB AOI",ROW($I$82:$I$90)-ROW($I$82)+1),ROW()-7),1),IFERROR(INDEX($D$82:$D$90,SMALL(IF($J$82:$J$90="GLOB AOI",ROW($J$82:$J$90)-ROW($J$82)+1),ROW()-7),1),IFERROR(INDEX($D$104:$D$112,SMALL(IF($I$104:$I$112="GLOB AOI",ROW($I$104:$I$112)-ROW($I$104)+1),ROW()-7),1),IFERROR(INDEX($D$104:$D$112,SMALL(IF($J$104:$J$112="GLOB AOI",ROW($J$104:$J$112)-ROW($J$104)+1),ROW()-7),1),IFERROR(INDEX($D$118:$D$126,SMALL(IF($I$118:$I$126="GLOB AOI",ROW($I$118:$I$126)-ROW($I$118)+1),ROW()-7),1),IFERROR(INDEX($D$118:$D$126,SMALL(IF($J$118:$J$126="GLOB AOI",ROW($J$118:$J$126)-ROW($J$118)+1),ROW()-7),1),IFERROR(INDEX($D$132:$D$140,SMALL(IF($I$132:$I$140="GLOB AOI",ROW($I$132:$I$140)-ROW($I$132)+1),ROW()-7),1),IFERROR(INDEX($D$132:$D$140,SMALL(IF($J$132:$J$140="GLOB AOI",ROW($J$132:$J$140)-ROW($J$132)+1),ROW()-7),1),IFERROR(INDEX($D$154:$D$162,SMALL(IF($I$154:$I$162="GLOB AOI",ROW($I$154:$I$162)-ROW($I$154)+1),ROW()-7),1),IFERROR(INDEX($D$154:$D$162,SMALL(IF($J$154:$J$162="GLOB AOI",ROW($J$154:$J$162)-ROW($J$154)+1),ROW()-7),1),IFERROR(INDEX($D$168:$D$176,SMALL(IF($I$168:$I$176="GLOB AOI",ROW($I$168:$I$176)-ROW($I$168)+1),ROW()-7),1),IFERROR(INDEX($D$168:$D$176,SMALL(IF($J$168:$J$176="GLOB AOI",ROW($J$168:$J$176)-ROW($J$168)+1),ROW()-7),1),IFERROR(INDEX($D$183:$D$191,SMALL(IF($I$183:$I$191="GLOB AOI",ROW($I$183:$I$191)-ROW($I$183)+1),ROW()-7),1),IFERROR(INDEX($D$183:$D$191,SMALL(IF($J$183:$J$191="GLOB AOI",ROW($J$183:$J$191)-ROW($J$183)+1),ROW()-7),1),""))))))))))))))))))))))</f>
        <v/>
      </c>
      <c r="P8" s="92"/>
      <c r="Q8" s="89">
        <f>SUMPRODUCT(--(S8=SCILABAOI))</f>
        <v>0</v>
      </c>
      <c r="R8" s="90" t="s">
        <v>1292</v>
      </c>
      <c r="S8" s="90" t="str">
        <f t="array" ref="S8">IFERROR(INDEX($D$19:$D$27,SMALL(IF($J$19:$J$27="SCI. LAB AOI",ROW($J$19:$J$27)-ROW($J$19)+1),ROW()-7),1),IFERROR(INDEX($D$19:$D$27,SMALL(IF($I$19:$I$27="SCI. LAB AOI",ROW($I$19:$I$27)-ROW($I$19)+1),ROW()-7),1),IFERROR(INDEX($D$34:$D$42,SMALL(IF($I$34:$I$42="SCI. LAB AOI",ROW($I$34:$I$42)-ROW($I$34)+1),ROW()-7),1),IFERROR(INDEX($D$34:$D$42,SMALL(IF($J$34:$J$42="SCI. LAB AOI",ROW($J$34:$J$42)-ROW($J$34)+1),ROW()-7),1),IFERROR(INDEX($D$54:$D$62,SMALL(IF($I$54:$I$62="SCI. LAB AOI",ROW($I$54:$I$62)-ROW($I$54)+1),ROW()-7),1),IFERROR(INDEX($D$54:$D$62,SMALL(IF($J$54:$J$62="SCI. LAB AOI",ROW($J$54:$J$62)-ROW($J$54)+1),ROW()-7),1),IFERROR(INDEX($D$68:$D$76,SMALL(IF($I$68:$I$76="SCI. LAB AOI",ROW($I$68:$I$76)-ROW($I$68)+1),ROW()-7),1),IFERROR(INDEX($D$68:$D$76,SMALL(IF($J$68:$J$76="SCI. LAB AOI",ROW($J$68:$J$76)-ROW($J$68)+1),ROW()-7),1),IFERROR(INDEX($D$82:$D$90,SMALL(IF($I$82:$I$90="SCI. LAB AOI",ROW($I$82:$I$90)-ROW($I$82)+1),ROW()-13),1),IFERROR(INDEX($D$82:$D$90,SMALL(IF($J$82:$J$90="SCI. LAB AOI",ROW($J$82:$J$90)-ROW($J$82)+1),ROW()-7),1),IFERROR(INDEX($D$104:$D$112,SMALL(IF($I$104:$I$112="SCI. LAB AOI",ROW($I$104:$I$112)-ROW($I$104)+1),ROW()-7),1),IFERROR(INDEX($D$104:$D$112,SMALL(IF($J$104:$J$112="SCI. LAB AOI",ROW($J$104:$J$112)-ROW($J$104)+1),ROW()-7),1),IFERROR(INDEX($D$118:$D$126,SMALL(IF($I$118:$I$126="SCI. LAB AOI",ROW($I$118:$I$126)-ROW($I$118)+1),ROW()-7),1),IFERROR(INDEX($D$118:$D$126,SMALL(IF($J$118:$J$126="SCI. LAB AOI",ROW($J$118:$J$126)-ROW($J$118)+1),ROW()-7),1),IFERROR(INDEX($D$132:$D$140,SMALL(IF($I$132:$I$140="SCI. LAB AOI",ROW($I$132:$I$140)-ROW($I$132)+1),ROW()-7),1),IFERROR(INDEX($D$132:$D$140,SMALL(IF($J$132:$J$140="SCI. LAB AOI",ROW($J$132:$J$140)-ROW($J$132)+1),ROW()-7),1),IFERROR(INDEX($D$154:$D$162,SMALL(IF($I$154:$I$162="SCI. LAB AOI",ROW($I$154:$I$162)-ROW($I$154)+1),ROW()-7),1),IFERROR(INDEX($D$154:$D$162,SMALL(IF($J$154:$J$162="SCI. LAB AOI",ROW($J$154:$J$162)-ROW($J$154)+1),ROW()-7),1),IFERROR(INDEX($D$168:$D$176,SMALL(IF($I$168:$I$176="SCI. LAB AOI",ROW($I$168:$I$176)-ROW($I$168)+1),ROW()-7),1),IFERROR(INDEX($D$168:$D$176,SMALL(IF($J$168:$J$176="SCI. LAB AOI",ROW($J$168:$J$176)-ROW($J$168)+1),ROW()-7),1),IFERROR(INDEX($D$183:$D$191,SMALL(IF($I$183:$I$191="SCI. LAB AOI",ROW($I$183:$I$191)-ROW($I$183)+1),ROW()-7),1),IFERROR(INDEX($D$183:$D$191,SMALL(IF($J$183:$J$191="SCI. LAB AOI",ROW($J$183:$J$191)-ROW($J$183)+1),ROW()-7),1),""))))))))))))))))))))))</f>
        <v/>
      </c>
      <c r="T8" s="90"/>
      <c r="U8" s="90"/>
      <c r="V8" s="91"/>
    </row>
    <row r="9" spans="1:22" ht="15" customHeight="1" x14ac:dyDescent="0.2">
      <c r="A9" s="38"/>
      <c r="B9" s="38"/>
      <c r="C9" s="38"/>
      <c r="D9" s="38"/>
      <c r="E9" s="38"/>
      <c r="F9" s="38"/>
      <c r="G9" s="38"/>
      <c r="H9" s="38"/>
      <c r="I9" s="38"/>
      <c r="J9" s="38"/>
      <c r="K9" s="37"/>
      <c r="L9" s="88"/>
      <c r="M9" s="89">
        <f>SUMPRODUCT(--(O9=HISTAOI))</f>
        <v>0</v>
      </c>
      <c r="N9" s="90" t="s">
        <v>214</v>
      </c>
      <c r="O9" s="90" t="str">
        <f t="array" ref="O9">IFERROR(INDEX($D$19:$D$27,SMALL(IF($J$19:$J$27="HIST 1 AOI",ROW($J$19:$J$27)-ROW($J$19)+1),ROW()-8),1),IFERROR(INDEX($D$19:$D$27,SMALL(IF($I$19:$I$27="HIST 1 AOI",ROW($I$19:$I$27)-ROW($I$19)+1),ROW()-8),1),IFERROR(INDEX($D$34:$D$42,SMALL(IF($I$34:$I$42="HIST 1 AOI",ROW($I$34:$I$42)-ROW($I$34)+1),ROW()-8),1),IFERROR(INDEX($D$34:$D$42,SMALL(IF($J$34:$J$42="HIST 1 AOI",ROW($J$34:$J$42)-ROW($J$34)+1),ROW()-8),1),IFERROR(INDEX($D$54:$D$62,SMALL(IF($I$54:$I$62="HIST 1 AOI",ROW($I$54:$I$62)-ROW($I$54)+1),ROW()-8),1),IFERROR(INDEX($D$54:$D$62,SMALL(IF($J$54:$J$62="HIST 1 AOI",ROW($J$54:$J$62)-ROW($J$54)+1),ROW()-8),1),IFERROR(INDEX($D$68:$D$76,SMALL(IF($I$68:$I$76="HIST 1 AOI",ROW($I$68:$I$76)-ROW($I$68)+1),ROW()-8),1),IFERROR(INDEX($D$68:$D$76,SMALL(IF($J$68:$J$76="HIST 1 AOI",ROW($J$68:$J$76)-ROW($J$68)+1),ROW()-8),1),IFERROR(INDEX($D$82:$D$90,SMALL(IF($I$82:$I$90="HIST 1 AOI",ROW($I$82:$I$90)-ROW($I$82)+1),ROW()-8),1),IFERROR(INDEX($D$82:$D$90,SMALL(IF($J$82:$J$90="HIST 1 AOI",ROW($J$82:$J$90)-ROW($J$82)+1),ROW()-8),1),IFERROR(INDEX($D$104:$D$112,SMALL(IF($I$104:$I$112="HIST 1 AOI",ROW($I$104:$I$112)-ROW($I$104)+1),ROW()-8),1),IFERROR(INDEX($D$104:$D$112,SMALL(IF($J$104:$J$112="HIST 1 AOI",ROW($J$104:$J$112)-ROW($J$104)+1),ROW()-8),1),IFERROR(INDEX($D$118:$D$126,SMALL(IF($I$118:$I$126="HIST 1 AOI",ROW($I$118:$I$126)-ROW($I$118)+1),ROW()-8),1),IFERROR(INDEX($D$118:$D$126,SMALL(IF($J$118:$J$126="HIST 1 AOI",ROW($J$118:$J$126)-ROW($J$118)+1),ROW()-8),1),IFERROR(INDEX($D$132:$D$140,SMALL(IF($I$132:$I$140="HIST 1 AOI",ROW($I$132:$I$140)-ROW($I$132)+1),ROW()-8),1),IFERROR(INDEX($D$132:$D$140,SMALL(IF($J$132:$J$140="HIST 1 AOI",ROW($J$132:$J$140)-ROW($J$132)+1),ROW()-8),1),IFERROR(INDEX($D$154:$D$162,SMALL(IF($I$154:$I$162="HIST 1 AOI",ROW($I$154:$I$162)-ROW($I$154)+1),ROW()-8),1),IFERROR(INDEX($D$154:$D$162,SMALL(IF($J$154:$J$162="HIST 1 AOI",ROW($J$154:$J$162)-ROW($J$154)+1),ROW()-8),1),IFERROR(INDEX($D$168:$D$176,SMALL(IF($I$168:$I$176="HIST 1 AOI",ROW($I$168:$I$176)-ROW($I$168)+1),ROW()-8),1),IFERROR(INDEX($D$168:$D$176,SMALL(IF($J$168:$J$176="HIST 1 AOI",ROW($J$168:$J$176)-ROW($J$168)+1),ROW()-8),1),IFERROR(INDEX($D$183:$D$191,SMALL(IF($I$183:$I$191="HIST 1 AOI",ROW($I$183:$I$191)-ROW($I$183)+1),ROW()-8),1),IFERROR(INDEX($D$183:$D$191,SMALL(IF($J$183:$J$191="HIST 1 AOI",ROW($J$183:$J$191)-ROW($J$183)+1),ROW()-8),1),""))))))))))))))))))))))</f>
        <v/>
      </c>
      <c r="P9" s="92"/>
      <c r="Q9" s="89">
        <f>SUM(T10:T17)</f>
        <v>0</v>
      </c>
      <c r="R9" s="90" t="s">
        <v>1324</v>
      </c>
      <c r="S9" s="90"/>
      <c r="T9" s="90"/>
      <c r="U9" s="90"/>
      <c r="V9" s="91"/>
    </row>
    <row r="10" spans="1:22" ht="15" customHeight="1" x14ac:dyDescent="0.2">
      <c r="A10" s="39" t="s">
        <v>2</v>
      </c>
      <c r="B10" s="133"/>
      <c r="C10" s="133"/>
      <c r="D10" s="133"/>
      <c r="E10" s="133"/>
      <c r="F10" s="133"/>
      <c r="G10" s="39" t="s">
        <v>1</v>
      </c>
      <c r="H10" s="109"/>
      <c r="I10" s="109"/>
      <c r="J10" s="40" t="s">
        <v>3</v>
      </c>
      <c r="K10" s="41"/>
      <c r="L10" s="88"/>
      <c r="M10" s="89">
        <f>SUMPRODUCT(--(O10=HISTAOI))</f>
        <v>0</v>
      </c>
      <c r="N10" s="90" t="s">
        <v>215</v>
      </c>
      <c r="O10" s="90" t="str">
        <f t="array" ref="O10">IFERROR(INDEX($D$19:$D$27,SMALL(IF($J$19:$J$27="HIST 2 AOI",ROW($J$19:$J$27)-ROW($J$19)+1),ROW()-9),1),IFERROR(INDEX($D$19:$D$27,SMALL(IF($I$19:$I$27="HIST 2 AOI",ROW($I$19:$I$27)-ROW($I$19)+1),ROW()-9),1),IFERROR(INDEX($D$34:$D$42,SMALL(IF($I$34:$I$42="HIST 2 AOI",ROW($I$34:$I$42)-ROW($I$34)+1),ROW()-9),1),IFERROR(INDEX($D$34:$D$42,SMALL(IF($J$34:$J$42="HIST 2 AOI",ROW($J$34:$J$42)-ROW($J$34)+1),ROW()-9),1),IFERROR(INDEX($D$54:$D$62,SMALL(IF($I$54:$I$62="HIST 2 AOI",ROW($I$54:$I$62)-ROW($I$54)+1),ROW()-9),1),IFERROR(INDEX($D$54:$D$62,SMALL(IF($J$54:$J$62="HIST 2 AOI",ROW($J$54:$J$62)-ROW($J$54)+1),ROW()-9),1),IFERROR(INDEX($D$68:$D$76,SMALL(IF($I$68:$I$76="HIST 2 AOI",ROW($I$68:$I$76)-ROW($I$68)+1),ROW()-9),1),IFERROR(INDEX($D$68:$D$76,SMALL(IF($J$68:$J$76="HIST 2 AOI",ROW($J$68:$J$76)-ROW($J$68)+1),ROW()-9),1),IFERROR(INDEX($D$82:$D$90,SMALL(IF($I$82:$I$90="HIST 2 AOI",ROW($I$82:$I$90)-ROW($I$82)+1),ROW()-9),1),IFERROR(INDEX($D$82:$D$90,SMALL(IF($J$82:$J$90="HIST 2 AOI",ROW($J$82:$J$90)-ROW($J$82)+1),ROW()-9),1),IFERROR(INDEX($D$104:$D$112,SMALL(IF($I$104:$I$112="HIST 2 AOI",ROW($I$104:$I$112)-ROW($I$104)+1),ROW()-9),1),IFERROR(INDEX($D$104:$D$112,SMALL(IF($J$104:$J$112="HIST 2 AOI",ROW($J$104:$J$112)-ROW($J$104)+1),ROW()-9),1),IFERROR(INDEX($D$118:$D$126,SMALL(IF($I$118:$I$126="HIST 2 AOI",ROW($I$118:$I$126)-ROW($I$118)+1),ROW()-9),1),IFERROR(INDEX($D$118:$D$126,SMALL(IF($J$118:$J$126="HIST 2 AOI",ROW($J$118:$J$126)-ROW($J$118)+1),ROW()-9),1),IFERROR(INDEX($D$132:$D$140,SMALL(IF($I$132:$I$140="HIST 2 AOI",ROW($I$132:$I$140)-ROW($I$132)+1),ROW()-9),1),IFERROR(INDEX($D$132:$D$140,SMALL(IF($J$132:$J$140="HIST 2 AOI",ROW($J$132:$J$140)-ROW($J$132)+1),ROW()-9),1),IFERROR(INDEX($D$154:$D$162,SMALL(IF($I$154:$I$162="HIST 2 AOI",ROW($I$154:$I$162)-ROW($I$154)+1),ROW()-9),1),IFERROR(INDEX($D$154:$D$162,SMALL(IF($J$154:$J$162="HIST 2 AOI",ROW($J$154:$J$162)-ROW($J$154)+1),ROW()-9),1),IFERROR(INDEX($D$168:$D$176,SMALL(IF($I$168:$I$176="HIST 2 AOI",ROW($I$168:$I$176)-ROW($I$168)+1),ROW()-9),1),IFERROR(INDEX($D$168:$D$176,SMALL(IF($J$168:$J$176="HIST 2 AOI",ROW($J$168:$J$176)-ROW($J$168)+1),ROW()-9),1),IFERROR(INDEX($D$183:$D$191,SMALL(IF($I$183:$I$191="HIST 2 AOI",ROW($I$183:$I$191)-ROW($I$183)+1),ROW()-9),1),IFERROR(INDEX($D$183:$D$191,SMALL(IF($J$183:$J$191="HIST 2 AOI",ROW($J$183:$J$191)-ROW($J$183)+1),ROW()-9),1),""))))))))))))))))))))))</f>
        <v/>
      </c>
      <c r="P10" s="90"/>
      <c r="Q10" s="90"/>
      <c r="R10" s="90"/>
      <c r="S10" s="90" t="str">
        <f t="array" ref="S10">IFERROR(INDEX(AOC_AS_NON_100L!$P$2:$P$100,SMALL(IF(AOC_AS_NON_100L!$P$2:$P$100&lt;&gt;"",ROW(AOC_AS_NON_100L!$P$2:$P$100)-ROW(AOC_AS_NON_100L!$P$2)+1),ROW()-9),1),"")</f>
        <v/>
      </c>
      <c r="T10" s="93" t="str">
        <f t="array" ref="T10">IFERROR(INDEX(AOC_AS_NON_100L!$Q$2:$Q$100,SMALL(IF(AOC_AS_NON_100L!$Q$2:$Q$100&lt;&gt;"",ROW(AOC_AS_NON_100L!$Q$2:$Q$100)-ROW(AOC_AS_NON_100L!$Q$2)+1),ROW()-9),1),"")</f>
        <v/>
      </c>
      <c r="U10" s="90"/>
      <c r="V10" s="91"/>
    </row>
    <row r="11" spans="1:22" ht="15" customHeight="1" x14ac:dyDescent="0.2">
      <c r="A11" s="42" t="s">
        <v>1364</v>
      </c>
      <c r="B11" s="132"/>
      <c r="C11" s="132"/>
      <c r="D11" s="132"/>
      <c r="E11" s="132"/>
      <c r="F11" s="132"/>
      <c r="G11" s="39" t="s">
        <v>82</v>
      </c>
      <c r="H11" s="108"/>
      <c r="I11" s="108"/>
      <c r="J11" s="40" t="s">
        <v>83</v>
      </c>
      <c r="K11" s="43"/>
      <c r="L11" s="88"/>
      <c r="M11" s="89">
        <f>SUMPRODUCT(--(O11=INFOAOI))</f>
        <v>0</v>
      </c>
      <c r="N11" s="90" t="s">
        <v>183</v>
      </c>
      <c r="O11" s="90" t="str">
        <f t="array" ref="O11">IFERROR(INDEX($D$19:$D$27,SMALL(IF($J$19:$J$27="INFO AOI",ROW($J$19:$J$27)-ROW($J$19)+1),ROW()-10),1),IFERROR(INDEX($D$19:$D$27,SMALL(IF($I$19:$I$27="INFO AOI",ROW($I$19:$I$27)-ROW($I$19)+1),ROW()-10),1),IFERROR(INDEX($D$34:$D$42,SMALL(IF($I$34:$I$42="INFO AOI",ROW($I$34:$I$42)-ROW($I$34)+1),ROW()-10),1),IFERROR(INDEX($D$34:$D$42,SMALL(IF($J$34:$J$42="INFO AOI",ROW($J$34:$J$42)-ROW($J$34)+1),ROW()-10),1),IFERROR(INDEX($D$54:$D$62,SMALL(IF($I$54:$I$62="INFO AOI",ROW($I$54:$I$62)-ROW($I$54)+1),ROW()-10),1),IFERROR(INDEX($D$54:$D$62,SMALL(IF($J$54:$J$62="INFO AOI",ROW($J$54:$J$62)-ROW($J$54)+1),ROW()-10),1),IFERROR(INDEX($D$68:$D$76,SMALL(IF($I$68:$I$76="INFO AOI",ROW($I$68:$I$76)-ROW($I$68)+1),ROW()-10),1),IFERROR(INDEX($D$68:$D$76,SMALL(IF($J$68:$J$76="INFO AOI",ROW($J$68:$J$76)-ROW($J$68)+1),ROW()-10),1),IFERROR(INDEX($D$82:$D$90,SMALL(IF($I$82:$I$90="INFO AOI",ROW($I$82:$I$90)-ROW($I$82)+1),ROW()-10),1),IFERROR(INDEX($D$82:$D$90,SMALL(IF($J$82:$J$90="INFO AOI",ROW($J$82:$J$90)-ROW($J$82)+1),ROW()-10),1),IFERROR(INDEX($D$104:$D$112,SMALL(IF($I$104:$I$112="INFO AOI",ROW($I$104:$I$112)-ROW($I$104)+1),ROW()-10),1),IFERROR(INDEX($D$104:$D$112,SMALL(IF($J$104:$J$112="INFO AOI",ROW($J$104:$J$112)-ROW($J$104)+1),ROW()-10),1),IFERROR(INDEX($D$118:$D$126,SMALL(IF($I$118:$I$126="INFO AOI",ROW($I$118:$I$126)-ROW($I$118)+1),ROW()-10),1),IFERROR(INDEX($D$118:$D$126,SMALL(IF($J$118:$J$126="INFO AOI",ROW($J$118:$J$126)-ROW($J$118)+1),ROW()-10),1),IFERROR(INDEX($D$132:$D$140,SMALL(IF($I$132:$I$140="INFO AOI",ROW($I$132:$I$140)-ROW($I$132)+1),ROW()-10),1),IFERROR(INDEX($D$132:$D$140,SMALL(IF($J$132:$J$140="INFO AOI",ROW($J$132:$J$140)-ROW($J$132)+1),ROW()-10),1),IFERROR(INDEX($D$154:$D$162,SMALL(IF($I$154:$I$162="INFO AOI",ROW($I$154:$I$162)-ROW($I$154)+1),ROW()-10),1),IFERROR(INDEX($D$154:$D$162,SMALL(IF($J$154:$J$162="INFO AOI",ROW($J$154:$J$162)-ROW($J$154)+1),ROW()-10),1),IFERROR(INDEX($D$168:$D$176,SMALL(IF($I$168:$I$176="INFO AOI",ROW($I$168:$I$176)-ROW($I$168)+1),ROW()-10),1),IFERROR(INDEX($D$168:$D$176,SMALL(IF($J$168:$J$176="INFO AOI",ROW($J$168:$J$176)-ROW($J$168)+1),ROW()-10),1),IFERROR(INDEX($D$183:$D$191,SMALL(IF($I$183:$I$191="INFO AOI",ROW($I$183:$I$191)-ROW($I$183)+1),ROW()-10),1),IFERROR(INDEX($D$183:$D$191,SMALL(IF($J$183:$J$191="INFO AOI",ROW($J$183:$J$191)-ROW($J$183)+1),ROW()-10),1),""))))))))))))))))))))))</f>
        <v/>
      </c>
      <c r="P11" s="92"/>
      <c r="Q11" s="92"/>
      <c r="R11" s="90"/>
      <c r="S11" s="90" t="str">
        <f t="array" ref="S11">IFERROR(INDEX(AOC_AS_NON_100L!$P$2:$P$100,SMALL(IF(AOC_AS_NON_100L!$P$2:$P$100&lt;&gt;"",ROW(AOC_AS_NON_100L!$P$2:$P$100)-ROW(AOC_AS_NON_100L!$P$2)+1),ROW()-9),1),"")</f>
        <v/>
      </c>
      <c r="T11" s="93" t="str">
        <f t="array" ref="T11">IFERROR(INDEX(AOC_AS_NON_100L!$Q$2:$Q$100,SMALL(IF(AOC_AS_NON_100L!$Q$2:$Q$100&lt;&gt;"",ROW(AOC_AS_NON_100L!$Q$2:$Q$100)-ROW(AOC_AS_NON_100L!$Q$2)+1),ROW()-9),1),"")</f>
        <v/>
      </c>
      <c r="U11" s="90"/>
      <c r="V11" s="91"/>
    </row>
    <row r="12" spans="1:22" ht="15" customHeight="1" x14ac:dyDescent="0.2">
      <c r="A12" s="42" t="s">
        <v>84</v>
      </c>
      <c r="B12" s="37"/>
      <c r="C12" s="134"/>
      <c r="D12" s="134"/>
      <c r="E12" s="134"/>
      <c r="F12" s="134"/>
      <c r="G12" s="42" t="s">
        <v>4</v>
      </c>
      <c r="H12" s="108"/>
      <c r="I12" s="108"/>
      <c r="J12" s="37"/>
      <c r="K12" s="37"/>
      <c r="L12" s="94"/>
      <c r="M12" s="89">
        <f>SUMPRODUCT(--(O12=LIFEAOI))</f>
        <v>0</v>
      </c>
      <c r="N12" s="90" t="s">
        <v>184</v>
      </c>
      <c r="O12" s="90" t="str">
        <f t="array" ref="O12">IFERROR(INDEX($D$19:$D$27,SMALL(IF($J$19:$J$27="LIFE AOI",ROW($J$19:$J$27)-ROW($J$19)+1),ROW()-11),1),IFERROR(INDEX($D$19:$D$27,SMALL(IF($I$19:$I$27="LIFE AOI",ROW($I$19:$I$27)-ROW($I$19)+1),ROW()-11),1),IFERROR(INDEX($D$34:$D$42,SMALL(IF($I$34:$I$42="LIFE AOI",ROW($I$34:$I$42)-ROW($I$34)+1),ROW()-11),1),IFERROR(INDEX($D$34:$D$42,SMALL(IF($J$34:$J$42="LIFE AOI",ROW($J$34:$J$42)-ROW($J$34)+1),ROW()-11),1),IFERROR(INDEX($D$54:$D$62,SMALL(IF($I$54:$I$62="LIFE AOI",ROW($I$54:$I$62)-ROW($I$54)+1),ROW()-11),1),IFERROR(INDEX($D$54:$D$62,SMALL(IF($J$54:$J$62="LIFE AOI",ROW($J$54:$J$62)-ROW($J$54)+1),ROW()-11),1),IFERROR(INDEX($D$68:$D$76,SMALL(IF($I$68:$I$76="LIFE AOI",ROW($I$68:$I$76)-ROW($I$68)+1),ROW()-11),1),IFERROR(INDEX($D$68:$D$76,SMALL(IF($J$68:$J$76="LIFE AOI",ROW($J$68:$J$76)-ROW($J$68)+1),ROW()-11),1),IFERROR(INDEX($D$82:$D$90,SMALL(IF($I$82:$I$90="LIFE AOI",ROW($I$82:$I$90)-ROW($I$82)+1),ROW()-11),1),IFERROR(INDEX($D$82:$D$90,SMALL(IF($J$82:$J$90="LIFE AOI",ROW($J$82:$J$90)-ROW($J$82)+1),ROW()-11),1),IFERROR(INDEX($D$104:$D$112,SMALL(IF($I$104:$I$112="LIFE AOI",ROW($I$104:$I$112)-ROW($I$104)+1),ROW()-11),1),IFERROR(INDEX($D$104:$D$112,SMALL(IF($J$104:$J$112="LIFE AOI",ROW($J$104:$J$112)-ROW($J$104)+1),ROW()-11),1),IFERROR(INDEX($D$118:$D$126,SMALL(IF($I$118:$I$126="LIFE AOI",ROW($I$118:$I$126)-ROW($I$118)+1),ROW()-11),1),IFERROR(INDEX($D$118:$D$126,SMALL(IF($J$118:$J$126="LIFE AOI",ROW($J$118:$J$126)-ROW($J$118)+1),ROW()-11),1),IFERROR(INDEX($D$132:$D$140,SMALL(IF($I$132:$I$140="LIFE AOI",ROW($I$132:$I$140)-ROW($I$132)+1),ROW()-11),1),IFERROR(INDEX($D$132:$D$140,SMALL(IF($J$132:$J$140="LIFE AOI",ROW($J$132:$J$140)-ROW($J$132)+1),ROW()-11),1),IFERROR(INDEX($D$154:$D$162,SMALL(IF($I$154:$I$162="LIFE AOI",ROW($I$154:$I$162)-ROW($I$154)+1),ROW()-11),1),IFERROR(INDEX($D$154:$D$162,SMALL(IF($J$154:$J$162="LIFE AOI",ROW($J$154:$J$162)-ROW($J$154)+1),ROW()-11),1),IFERROR(INDEX($D$168:$D$176,SMALL(IF($I$168:$I$176="LIFE AOI",ROW($I$168:$I$176)-ROW($I$168)+1),ROW()-11),1),IFERROR(INDEX($D$168:$D$176,SMALL(IF($J$168:$J$176="LIFE AOI",ROW($J$168:$J$176)-ROW($J$168)+1),ROW()-11),1),IFERROR(INDEX($D$183:$D$191,SMALL(IF($I$183:$I$191="LIFE AOI",ROW($I$183:$I$191)-ROW($I$183)+1),ROW()-11),1),IFERROR(INDEX($D$183:$D$191,SMALL(IF($J$183:$J$191="LIFE AOI",ROW($J$183:$J$191)-ROW($J$183)+1),ROW()-11),1),""))))))))))))))))))))))</f>
        <v/>
      </c>
      <c r="P12" s="92"/>
      <c r="Q12" s="92"/>
      <c r="R12" s="90"/>
      <c r="S12" s="90" t="str">
        <f t="array" ref="S12">IFERROR(INDEX(AOC_AS_NON_100L!$P$2:$P$100,SMALL(IF(AOC_AS_NON_100L!$P$2:$P$100&lt;&gt;"",ROW(AOC_AS_NON_100L!$P$2:$P$100)-ROW(AOC_AS_NON_100L!$P$2)+1),ROW()-9),1),"")</f>
        <v/>
      </c>
      <c r="T12" s="93" t="str">
        <f t="array" ref="T12">IFERROR(INDEX(AOC_AS_NON_100L!$Q$2:$Q$100,SMALL(IF(AOC_AS_NON_100L!$Q$2:$Q$100&lt;&gt;"",ROW(AOC_AS_NON_100L!$Q$2:$Q$100)-ROW(AOC_AS_NON_100L!$Q$2)+1),ROW()-9),1),"")</f>
        <v/>
      </c>
      <c r="U12" s="90"/>
      <c r="V12" s="91"/>
    </row>
    <row r="13" spans="1:22" ht="15" customHeight="1" x14ac:dyDescent="0.2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88"/>
      <c r="M13" s="89">
        <f>SUMPRODUCT(--(O13=PHSCAOI))</f>
        <v>0</v>
      </c>
      <c r="N13" s="90" t="s">
        <v>185</v>
      </c>
      <c r="O13" s="90" t="str">
        <f t="array" ref="O13">IFERROR(INDEX($D$19:$D$27,SMALL(IF($J$19:$J$27="PHSC AOI",ROW($J$19:$J$27)-ROW($J$19)+1),ROW()-12),1),IFERROR(INDEX($D$19:$D$27,SMALL(IF($I$19:$I$27="PHSC AOI",ROW($I$19:$I$27)-ROW($I$19)+1),ROW()-12),1),IFERROR(INDEX($D$34:$D$42,SMALL(IF($I$34:$I$42="PHSC AOI",ROW($I$34:$I$42)-ROW($I$34)+1),ROW()-12),1),IFERROR(INDEX($D$34:$D$42,SMALL(IF($J$34:$J$42="PHSC AOI",ROW($J$34:$J$42)-ROW($J$34)+1),ROW()-12),1),IFERROR(INDEX($D$54:$D$62,SMALL(IF($I$54:$I$62="PHSC AOI",ROW($I$54:$I$62)-ROW($I$54)+1),ROW()-12),1),IFERROR(INDEX($D$54:$D$62,SMALL(IF($J$54:$J$62="PHSC AOI",ROW($J$54:$J$62)-ROW($J$54)+1),ROW()-12),1),IFERROR(INDEX($D$68:$D$76,SMALL(IF($I$68:$I$76="PHSC AOI",ROW($I$68:$I$76)-ROW($I$68)+1),ROW()-12),1),IFERROR(INDEX($D$68:$D$76,SMALL(IF($J$68:$J$76="PHSC AOI",ROW($J$68:$J$76)-ROW($J$68)+1),ROW()-12),1),IFERROR(INDEX($D$82:$D$90,SMALL(IF($I$82:$I$90="PHSC AOI",ROW($I$82:$I$90)-ROW($I$82)+1),ROW()-12),1),IFERROR(INDEX($D$82:$D$90,SMALL(IF($J$82:$J$90="PHSC AOI",ROW($J$82:$J$90)-ROW($J$82)+1),ROW()-12),1),IFERROR(INDEX($D$104:$D$112,SMALL(IF($I$104:$I$112="PHSC AOI",ROW($I$104:$I$112)-ROW($I$104)+1),ROW()-12),1),IFERROR(INDEX($D$104:$D$112,SMALL(IF($J$104:$J$112="PHSC AOI",ROW($J$104:$J$112)-ROW($J$104)+1),ROW()-12),1),IFERROR(INDEX($D$118:$D$126,SMALL(IF($I$118:$I$126="PHSC AOI",ROW($I$118:$I$126)-ROW($I$118)+1),ROW()-12),1),IFERROR(INDEX($D$118:$D$126,SMALL(IF($J$118:$J$126="PHSC AOI",ROW($J$118:$J$126)-ROW($J$118)+1),ROW()-12),1),IFERROR(INDEX($D$132:$D$140,SMALL(IF($I$132:$I$140="PHSC AOI",ROW($I$132:$I$140)-ROW($I$132)+1),ROW()-12),1),IFERROR(INDEX($D$132:$D$140,SMALL(IF($J$132:$J$140="PHSC AOI",ROW($J$132:$J$140)-ROW($J$132)+1),ROW()-12),1),IFERROR(INDEX($D$154:$D$162,SMALL(IF($I$154:$I$162="PHSC AOI",ROW($I$154:$I$162)-ROW($I$154)+1),ROW()-12),1),IFERROR(INDEX($D$154:$D$162,SMALL(IF($J$154:$J$162="PHSC AOI",ROW($J$154:$J$162)-ROW($J$154)+1),ROW()-12),1),IFERROR(INDEX($D$168:$D$176,SMALL(IF($I$168:$I$176="PHSC AOI",ROW($I$168:$I$176)-ROW($I$168)+1),ROW()-12),1),IFERROR(INDEX($D$168:$D$176,SMALL(IF($J$168:$J$176="PHSC AOI",ROW($J$168:$J$176)-ROW($J$168)+1),ROW()-12),1),IFERROR(INDEX($D$183:$D$191,SMALL(IF($I$183:$I$191="PHSC AOI",ROW($I$183:$I$191)-ROW($I$183)+1),ROW()-12),1),IFERROR(INDEX($D$183:$D$191,SMALL(IF($J$183:$J$191="PHSC AOI",ROW($J$183:$J$191)-ROW($J$183)+1),ROW()-12),1),""))))))))))))))))))))))</f>
        <v/>
      </c>
      <c r="P13" s="90"/>
      <c r="Q13" s="90"/>
      <c r="R13" s="90"/>
      <c r="S13" s="90" t="str">
        <f t="array" ref="S13">IFERROR(INDEX(AOC_AS_NON_100L!$P$2:$P$100,SMALL(IF(AOC_AS_NON_100L!$P$2:$P$100&lt;&gt;"",ROW(AOC_AS_NON_100L!$P$2:$P$100)-ROW(AOC_AS_NON_100L!$P$2)+1),ROW()-9),1),"")</f>
        <v/>
      </c>
      <c r="T13" s="93" t="str">
        <f t="array" ref="T13">IFERROR(INDEX(AOC_AS_NON_100L!$Q$2:$Q$100,SMALL(IF(AOC_AS_NON_100L!$Q$2:$Q$100&lt;&gt;"",ROW(AOC_AS_NON_100L!$Q$2:$Q$100)-ROW(AOC_AS_NON_100L!$Q$2)+1),ROW()-9),1),"")</f>
        <v/>
      </c>
      <c r="U13" s="90"/>
      <c r="V13" s="88"/>
    </row>
    <row r="14" spans="1:22" ht="15" customHeight="1" x14ac:dyDescent="0.2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88"/>
      <c r="M14" s="89">
        <f>SUMPRODUCT(--(O14=SCILABAOI))</f>
        <v>0</v>
      </c>
      <c r="N14" s="90" t="s">
        <v>1292</v>
      </c>
      <c r="O14" s="90" t="str">
        <f t="array" ref="O14">IFERROR(INDEX($D$19:$D$27,SMALL(IF($J$19:$J$27="SCI. LAB AOI",ROW($J$19:$J$27)-ROW($J$19)+1),ROW()-13),1),IFERROR(INDEX($D$19:$D$27,SMALL(IF($I$19:$I$27="SCI. LAB AOI",ROW($I$19:$I$27)-ROW($I$19)+1),ROW()-13),1),IFERROR(INDEX($D$34:$D$42,SMALL(IF($I$34:$I$42="SCI. LAB AOI",ROW($I$34:$I$42)-ROW($I$34)+1),ROW()-13),1),IFERROR(INDEX($D$34:$D$42,SMALL(IF($J$34:$J$42="SCI. LAB AOI",ROW($J$34:$J$42)-ROW($J$34)+1),ROW()-13),1),IFERROR(INDEX($D$54:$D$62,SMALL(IF($I$54:$I$62="SCI. LAB AOI",ROW($I$54:$I$62)-ROW($I$54)+1),ROW()-13),1),IFERROR(INDEX($D$54:$D$62,SMALL(IF($J$54:$J$62="SCI. LAB AOI",ROW($J$54:$J$62)-ROW($J$54)+1),ROW()-13),1),IFERROR(INDEX($D$68:$D$76,SMALL(IF($I$68:$I$76="SCI. LAB AOI",ROW($I$68:$I$76)-ROW($I$68)+1),ROW()-13),1),IFERROR(INDEX($D$68:$D$76,SMALL(IF($J$68:$J$76="SCI. LAB AOI",ROW($J$68:$J$76)-ROW($J$68)+1),ROW()-13),1),IFERROR(INDEX($D$82:$D$90,SMALL(IF($I$82:$I$90="SCI. LAB AOI",ROW($I$82:$I$90)-ROW($I$82)+1),ROW()-13),1),IFERROR(INDEX($D$82:$D$90,SMALL(IF($J$82:$J$90="SCI. LAB AOI",ROW($J$82:$J$90)-ROW($J$82)+1),ROW()-13),1),IFERROR(INDEX($D$104:$D$112,SMALL(IF($I$104:$I$112="SCI. LAB AOI",ROW($I$104:$I$112)-ROW($I$104)+1),ROW()-13),1),IFERROR(INDEX($D$104:$D$112,SMALL(IF($J$104:$J$112="SCI. LAB AOI",ROW($J$104:$J$112)-ROW($J$104)+1),ROW()-13),1),IFERROR(INDEX($D$118:$D$126,SMALL(IF($I$118:$I$126="SCI. LAB AOI",ROW($I$118:$I$126)-ROW($I$118)+1),ROW()-13),1),IFERROR(INDEX($D$118:$D$126,SMALL(IF($J$118:$J$126="SCI. LAB AOI",ROW($J$118:$J$126)-ROW($J$118)+1),ROW()-13),1),IFERROR(INDEX($D$132:$D$140,SMALL(IF($I$132:$I$140="SCI. LAB AOI",ROW($I$132:$I$140)-ROW($I$132)+1),ROW()-13),1),IFERROR(INDEX($D$132:$D$140,SMALL(IF($J$132:$J$140="SCI. LAB AOI",ROW($J$132:$J$140)-ROW($J$132)+1),ROW()-13),1),IFERROR(INDEX($D$154:$D$162,SMALL(IF($I$154:$I$162="SCI. LAB AOI",ROW($I$154:$I$162)-ROW($I$154)+1),ROW()-13),1),IFERROR(INDEX($D$154:$D$162,SMALL(IF($J$154:$J$162="SCI. LAB AOI",ROW($J$154:$J$162)-ROW($J$154)+1),ROW()-13),1),IFERROR(INDEX($D$168:$D$176,SMALL(IF($I$168:$I$176="SCI. LAB AOI",ROW($I$168:$I$176)-ROW($I$168)+1),ROW()-13),1),IFERROR(INDEX($D$168:$D$176,SMALL(IF($J$168:$J$176="SCI. LAB AOI",ROW($J$168:$J$176)-ROW($J$168)+1),ROW()-13),1),IFERROR(INDEX($D$183:$D$191,SMALL(IF($I$183:$I$191="SCI. LAB AOI",ROW($I$183:$I$191)-ROW($I$183)+1),ROW()-13),1),IFERROR(INDEX($D$183:$D$191,SMALL(IF($J$183:$J$191="SCI. LAB AOI",ROW($J$183:$J$191)-ROW($J$183)+1),ROW()-13),1),""))))))))))))))))))))))</f>
        <v/>
      </c>
      <c r="P14" s="90"/>
      <c r="Q14" s="90"/>
      <c r="R14" s="90"/>
      <c r="S14" s="90" t="str">
        <f t="array" ref="S14">IFERROR(INDEX(AOC_AS_NON_100L!$P$2:$P$100,SMALL(IF(AOC_AS_NON_100L!$P$2:$P$100&lt;&gt;"",ROW(AOC_AS_NON_100L!$P$2:$P$100)-ROW(AOC_AS_NON_100L!$P$2)+1),ROW()-9),1),"")</f>
        <v/>
      </c>
      <c r="T14" s="93" t="str">
        <f t="array" ref="T14">IFERROR(INDEX(AOC_AS_NON_100L!$Q$2:$Q$100,SMALL(IF(AOC_AS_NON_100L!$Q$2:$Q$100&lt;&gt;"",ROW(AOC_AS_NON_100L!$Q$2:$Q$100)-ROW(AOC_AS_NON_100L!$Q$2)+1),ROW()-9),1),"")</f>
        <v/>
      </c>
      <c r="U14" s="90"/>
      <c r="V14" s="88"/>
    </row>
    <row r="15" spans="1:22" ht="15" customHeight="1" x14ac:dyDescent="0.2">
      <c r="A15" s="37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88"/>
      <c r="M15" s="89">
        <f>SUMPRODUCT(--(O15=QUANAOI))</f>
        <v>0</v>
      </c>
      <c r="N15" s="90" t="s">
        <v>186</v>
      </c>
      <c r="O15" s="90" t="str">
        <f t="array" ref="O15">IFERROR(INDEX($D$19:$D$27,SMALL(IF($J$19:$J$27="QUAN AOI",ROW($J$19:$J$27)-ROW($J$19)+1),ROW()-14),1),IFERROR(INDEX($D$19:$D$27,SMALL(IF($I$19:$I$27="QUAN AOI",ROW($I$19:$I$27)-ROW($I$19)+1),ROW()-14),1),IFERROR(INDEX($D$34:$D$42,SMALL(IF($I$34:$I$42="QUAN AOI",ROW($I$34:$I$42)-ROW($I$34)+1),ROW()-14),1),IFERROR(INDEX($D$34:$D$42,SMALL(IF($J$34:$J$42="QUAN AOI",ROW($J$34:$J$42)-ROW($J$34)+1),ROW()-14),1),IFERROR(INDEX($D$54:$D$62,SMALL(IF($I$54:$I$62="QUAN AOI",ROW($I$54:$I$62)-ROW($I$54)+1),ROW()-14),1),IFERROR(INDEX($D$54:$D$62,SMALL(IF($J$54:$J$62="QUAN AOI",ROW($J$54:$J$62)-ROW($J$54)+1),ROW()-14),1),IFERROR(INDEX($D$68:$D$76,SMALL(IF($I$68:$I$76="QUAN AOI",ROW($I$68:$I$76)-ROW($I$68)+1),ROW()-14),1),IFERROR(INDEX($D$68:$D$76,SMALL(IF($J$68:$J$76="QUAN AOI",ROW($J$68:$J$76)-ROW($J$68)+1),ROW()-14),1),IFERROR(INDEX($D$82:$D$90,SMALL(IF($I$82:$I$90="QUAN AOI",ROW($I$82:$I$90)-ROW($I$82)+1),ROW()-14),1),IFERROR(INDEX($D$82:$D$90,SMALL(IF($J$82:$J$90="QUAN AOI",ROW($J$82:$J$90)-ROW($J$82)+1),ROW()-14),1),IFERROR(INDEX($D$104:$D$112,SMALL(IF($I$104:$I$112="QUAN AOI",ROW($I$104:$I$112)-ROW($I$104)+1),ROW()-14),1),IFERROR(INDEX($D$104:$D$112,SMALL(IF($J$104:$J$112="QUAN AOI",ROW($J$104:$J$112)-ROW($J$104)+1),ROW()-14),1),IFERROR(INDEX($D$118:$D$126,SMALL(IF($I$118:$I$126="QUAN AOI",ROW($I$118:$I$126)-ROW($I$118)+1),ROW()-14),1),IFERROR(INDEX($D$118:$D$126,SMALL(IF($J$118:$J$126="QUAN AOI",ROW($J$118:$J$126)-ROW($J$118)+1),ROW()-14),1),IFERROR(INDEX($D$132:$D$140,SMALL(IF($I$132:$I$140="QUAN AOI",ROW($I$132:$I$140)-ROW($I$132)+1),ROW()-14),1),IFERROR(INDEX($D$132:$D$140,SMALL(IF($J$132:$J$140="QUAN AOI",ROW($J$132:$J$140)-ROW($J$132)+1),ROW()-14),1),IFERROR(INDEX($D$154:$D$162,SMALL(IF($I$154:$I$162="QUAN AOI",ROW($I$154:$I$162)-ROW($I$154)+1),ROW()-14),1),IFERROR(INDEX($D$154:$D$162,SMALL(IF($J$154:$J$162="QUAN AOI",ROW($J$154:$J$162)-ROW($J$154)+1),ROW()-14),1),IFERROR(INDEX($D$168:$D$176,SMALL(IF($I$168:$I$176="QUAN AOI",ROW($I$168:$I$176)-ROW($I$168)+1),ROW()-14),1),IFERROR(INDEX($D$168:$D$176,SMALL(IF($J$168:$J$176="QUAN AOI",ROW($J$168:$J$176)-ROW($J$168)+1),ROW()-14),1),IFERROR(INDEX($D$183:$D$191,SMALL(IF($I$183:$I$191="QUAN AOI",ROW($I$183:$I$191)-ROW($I$183)+1),ROW()-14),1),IFERROR(INDEX($D$183:$D$191,SMALL(IF($J$183:$J$191="QUAN AOI",ROW($J$183:$J$191)-ROW($J$183)+1),ROW()-14),1),""))))))))))))))))))))))</f>
        <v/>
      </c>
      <c r="P15" s="90"/>
      <c r="Q15" s="90"/>
      <c r="R15" s="90"/>
      <c r="S15" s="90" t="str">
        <f t="array" ref="S15">IFERROR(INDEX(AOC_AS_NON_100L!$P$2:$P$100,SMALL(IF(AOC_AS_NON_100L!$P$2:$P$100&lt;&gt;"",ROW(AOC_AS_NON_100L!$P$2:$P$100)-ROW(AOC_AS_NON_100L!$P$2)+1),ROW()-9),1),"")</f>
        <v/>
      </c>
      <c r="T15" s="93" t="str">
        <f t="array" ref="T15">IFERROR(INDEX(AOC_AS_NON_100L!$Q$2:$Q$100,SMALL(IF(AOC_AS_NON_100L!$Q$2:$Q$100&lt;&gt;"",ROW(AOC_AS_NON_100L!$Q$2:$Q$100)-ROW(AOC_AS_NON_100L!$Q$2)+1),ROW()-9),1),"")</f>
        <v/>
      </c>
      <c r="U15" s="90"/>
      <c r="V15" s="88"/>
    </row>
    <row r="16" spans="1:22" ht="15" customHeight="1" thickBot="1" x14ac:dyDescent="0.25">
      <c r="A16" s="37"/>
      <c r="B16" s="37"/>
      <c r="C16" s="37"/>
      <c r="D16" s="37"/>
      <c r="E16" s="37"/>
      <c r="F16" s="44"/>
      <c r="G16" s="37"/>
      <c r="H16" s="37"/>
      <c r="I16" s="37"/>
      <c r="J16" s="37"/>
      <c r="K16" s="37"/>
      <c r="L16" s="88"/>
      <c r="M16" s="89">
        <f>SUMPRODUCT(--(O16=VEAOI))</f>
        <v>0</v>
      </c>
      <c r="N16" s="90" t="s">
        <v>187</v>
      </c>
      <c r="O16" s="90" t="str">
        <f t="array" ref="O16">IFERROR(INDEX($D$19:$D$27,SMALL(IF($J$19:$J$27="VE AOI",ROW($J$19:$J$27)-ROW($J$19)+1),ROW()-15),1),IFERROR(INDEX($D$19:$D$27,SMALL(IF($I$19:$I$27="VE AOI",ROW($I$19:$I$27)-ROW($I$19)+1),ROW()-15),1),IFERROR(INDEX($D$34:$D$42,SMALL(IF($I$34:$I$42="VE AOI",ROW($I$34:$I$42)-ROW($I$34)+1),ROW()-15),1),IFERROR(INDEX($D$34:$D$42,SMALL(IF($J$34:$J$42="VE AOI",ROW($J$34:$J$42)-ROW($J$34)+1),ROW()-15),1),IFERROR(INDEX($D$54:$D$62,SMALL(IF($I$54:$I$62="VE AOI",ROW($I$54:$I$62)-ROW($I$54)+1),ROW()-15),1),IFERROR(INDEX($D$54:$D$62,SMALL(IF($J$54:$J$62="VE AOI",ROW($J$54:$J$62)-ROW($J$54)+1),ROW()-15),1),IFERROR(INDEX($D$68:$D$76,SMALL(IF($I$68:$I$76="VE AOI",ROW($I$68:$I$76)-ROW($I$68)+1),ROW()-15),1),IFERROR(INDEX($D$68:$D$76,SMALL(IF($J$68:$J$76="VE AOI",ROW($J$68:$J$76)-ROW($J$68)+1),ROW()-15),1),IFERROR(INDEX($D$82:$D$90,SMALL(IF($I$82:$I$90="VE AOI",ROW($I$82:$I$90)-ROW($I$82)+1),ROW()-15),1),IFERROR(INDEX($D$82:$D$90,SMALL(IF($J$82:$J$90="VE AOI",ROW($J$82:$J$90)-ROW($J$82)+1),ROW()-15),1),IFERROR(INDEX($D$104:$D$112,SMALL(IF($I$104:$I$112="VE AOI",ROW($I$104:$I$112)-ROW($I$104)+1),ROW()-15),1),IFERROR(INDEX($D$104:$D$112,SMALL(IF($J$104:$J$112="VE AOI",ROW($J$104:$J$112)-ROW($J$104)+1),ROW()-15),1),IFERROR(INDEX($D$118:$D$126,SMALL(IF($I$118:$I$126="VE AOI",ROW($I$118:$I$126)-ROW($I$118)+1),ROW()-15),1),IFERROR(INDEX($D$118:$D$126,SMALL(IF($J$118:$J$126="VE AOI",ROW($J$118:$J$126)-ROW($J$118)+1),ROW()-15),1),IFERROR(INDEX($D$132:$D$140,SMALL(IF($I$132:$I$140="VE AOI",ROW($I$132:$I$140)-ROW($I$132)+1),ROW()-15),1),IFERROR(INDEX($D$132:$D$140,SMALL(IF($J$132:$J$140="VE AOI",ROW($J$132:$J$140)-ROW($J$132)+1),ROW()-15),1),IFERROR(INDEX($D$154:$D$162,SMALL(IF($I$154:$I$162="VE AOI",ROW($I$154:$I$162)-ROW($I$154)+1),ROW()-15),1),IFERROR(INDEX($D$154:$D$162,SMALL(IF($J$154:$J$162="VE AOI",ROW($J$154:$J$162)-ROW($J$154)+1),ROW()-15),1),IFERROR(INDEX($D$168:$D$176,SMALL(IF($I$168:$I$176="VE AOI",ROW($I$168:$I$176)-ROW($I$168)+1),ROW()-15),1),IFERROR(INDEX($D$168:$D$176,SMALL(IF($J$168:$J$176="VE AOI",ROW($J$168:$J$176)-ROW($J$168)+1),ROW()-15),1),IFERROR(INDEX($D$183:$D$191,SMALL(IF($I$183:$I$191="VE AOI",ROW($I$183:$I$191)-ROW($I$183)+1),ROW()-15),1),IFERROR(INDEX($D$183:$D$191,SMALL(IF($J$183:$J$191="VE AOI",ROW($J$183:$J$191)-ROW($J$183)+1),ROW()-15),1),""))))))))))))))))))))))</f>
        <v/>
      </c>
      <c r="P16" s="90"/>
      <c r="Q16" s="90"/>
      <c r="R16" s="90"/>
      <c r="S16" s="90" t="str">
        <f t="array" ref="S16">IFERROR(INDEX(AOC_AS_NON_100L!$P$2:$P$100,SMALL(IF(AOC_AS_NON_100L!$P$2:$P$100&lt;&gt;"",ROW(AOC_AS_NON_100L!$P$2:$P$100)-ROW(AOC_AS_NON_100L!$P$2)+1),ROW()-9),1),"")</f>
        <v/>
      </c>
      <c r="T16" s="93" t="str">
        <f t="array" ref="T16">IFERROR(INDEX(AOC_AS_NON_100L!$Q$2:$Q$100,SMALL(IF(AOC_AS_NON_100L!$Q$2:$Q$100&lt;&gt;"",ROW(AOC_AS_NON_100L!$Q$2:$Q$100)-ROW(AOC_AS_NON_100L!$Q$2)+1),ROW()-9),1),"")</f>
        <v/>
      </c>
      <c r="U16" s="90"/>
      <c r="V16" s="88"/>
    </row>
    <row r="17" spans="1:22" ht="15" customHeight="1" x14ac:dyDescent="0.2">
      <c r="A17" s="37"/>
      <c r="B17" s="45" t="s">
        <v>5</v>
      </c>
      <c r="C17" s="46"/>
      <c r="D17" s="46"/>
      <c r="E17" s="46"/>
      <c r="F17" s="47"/>
      <c r="G17" s="47"/>
      <c r="H17" s="47"/>
      <c r="I17" s="47"/>
      <c r="J17" s="48"/>
      <c r="K17" s="37"/>
      <c r="L17" s="88"/>
      <c r="M17" s="89">
        <f>SUMPRODUCT(--(O17=WRITAOI))</f>
        <v>0</v>
      </c>
      <c r="N17" s="90" t="s">
        <v>188</v>
      </c>
      <c r="O17" s="90" t="str">
        <f t="array" ref="O17">IFERROR(INDEX($D$19:$D$27,SMALL(IF($J$19:$J$27="WRIT AOI",ROW($J$19:$J$27)-ROW($J$19)+1),ROW()-16),1),IFERROR(INDEX($D$19:$D$27,SMALL(IF($I$19:$I$27="WRIT AOI",ROW($I$19:$I$27)-ROW($I$19)+1),ROW()-16),1),IFERROR(INDEX($D$34:$D$42,SMALL(IF($I$34:$I$42="WRIT AOI",ROW($I$34:$I$42)-ROW($I$34)+1),ROW()-16),1),IFERROR(INDEX($D$34:$D$42,SMALL(IF($J$34:$J$42="WRIT AOI",ROW($J$34:$J$42)-ROW($J$34)+1),ROW()-16),1),IFERROR(INDEX($D$54:$D$62,SMALL(IF($I$54:$I$62="WRIT AOI",ROW($I$54:$I$62)-ROW($I$54)+1),ROW()-16),1),IFERROR(INDEX($D$54:$D$62,SMALL(IF($J$54:$J$62="WRIT AOI",ROW($J$54:$J$62)-ROW($J$54)+1),ROW()-16),1),IFERROR(INDEX($D$68:$D$76,SMALL(IF($I$68:$I$76="WRIT AOI",ROW($I$68:$I$76)-ROW($I$68)+1),ROW()-16),1),IFERROR(INDEX($D$68:$D$76,SMALL(IF($J$68:$J$76="WRIT AOI",ROW($J$68:$J$76)-ROW($J$68)+1),ROW()-16),1),IFERROR(INDEX($D$82:$D$90,SMALL(IF($I$82:$I$90="WRIT AOI",ROW($I$82:$I$90)-ROW($I$82)+1),ROW()-16),1),IFERROR(INDEX($D$82:$D$90,SMALL(IF($J$82:$J$90="WRIT AOI",ROW($J$82:$J$90)-ROW($J$82)+1),ROW()-16),1),IFERROR(INDEX($D$104:$D$112,SMALL(IF($I$104:$I$112="WRIT AOI",ROW($I$104:$I$112)-ROW($I$104)+1),ROW()-16),1),IFERROR(INDEX($D$104:$D$112,SMALL(IF($J$104:$J$112="WRIT AOI",ROW($J$104:$J$112)-ROW($J$104)+1),ROW()-16),1),IFERROR(INDEX($D$118:$D$126,SMALL(IF($I$118:$I$126="WRIT AOI",ROW($I$118:$I$126)-ROW($I$118)+1),ROW()-16),1),IFERROR(INDEX($D$118:$D$126,SMALL(IF($J$118:$J$126="WRIT AOI",ROW($J$118:$J$126)-ROW($J$118)+1),ROW()-16),1),IFERROR(INDEX($D$132:$D$140,SMALL(IF($I$132:$I$140="WRIT AOI",ROW($I$132:$I$140)-ROW($I$132)+1),ROW()-16),1),IFERROR(INDEX($D$132:$D$140,SMALL(IF($J$132:$J$140="WRIT AOI",ROW($J$132:$J$140)-ROW($J$132)+1),ROW()-16),1),IFERROR(INDEX($D$154:$D$162,SMALL(IF($I$154:$I$162="WRIT AOI",ROW($I$154:$I$162)-ROW($I$154)+1),ROW()-16),1),IFERROR(INDEX($D$154:$D$162,SMALL(IF($J$154:$J$162="WRIT AOI",ROW($J$154:$J$162)-ROW($J$154)+1),ROW()-16),1),IFERROR(INDEX($D$168:$D$176,SMALL(IF($I$168:$I$176="WRIT AOI",ROW($I$168:$I$176)-ROW($I$168)+1),ROW()-16),1),IFERROR(INDEX($D$168:$D$176,SMALL(IF($J$168:$J$176="WRIT AOI",ROW($J$168:$J$176)-ROW($J$168)+1),ROW()-16),1),IFERROR(INDEX($D$183:$D$191,SMALL(IF($I$183:$I$191="WRIT AOI",ROW($I$183:$I$191)-ROW($I$183)+1),ROW()-16),1),IFERROR(INDEX($D$183:$D$191,SMALL(IF($J$183:$J$191="WRIT AOI",ROW($J$183:$J$191)-ROW($J$183)+1),ROW()-16),1),""))))))))))))))))))))))</f>
        <v/>
      </c>
      <c r="P17" s="90"/>
      <c r="Q17" s="90"/>
      <c r="R17" s="90"/>
      <c r="S17" s="90" t="str">
        <f t="array" ref="S17">IFERROR(INDEX(AOC_AS_NON_100L!$P$2:$P$100,SMALL(IF(AOC_AS_NON_100L!$P$2:$P$100&lt;&gt;"",ROW(AOC_AS_NON_100L!$P$2:$P$100)-ROW(AOC_AS_NON_100L!$P$2)+1),ROW()-9),1),"")</f>
        <v/>
      </c>
      <c r="T17" s="93" t="str">
        <f t="array" ref="T17">IFERROR(INDEX(AOC_AS_NON_100L!$Q$2:$Q$100,SMALL(IF(AOC_AS_NON_100L!$Q$2:$Q$100&lt;&gt;"",ROW(AOC_AS_NON_100L!$Q$2:$Q$100)-ROW(AOC_AS_NON_100L!$Q$2)+1),ROW()-9),1),"")</f>
        <v/>
      </c>
      <c r="U17" s="90"/>
      <c r="V17" s="88"/>
    </row>
    <row r="18" spans="1:22" ht="15" customHeight="1" thickBot="1" x14ac:dyDescent="0.25">
      <c r="A18" s="37"/>
      <c r="B18" s="49" t="s">
        <v>177</v>
      </c>
      <c r="C18" s="50" t="s">
        <v>6</v>
      </c>
      <c r="D18" s="51"/>
      <c r="E18" s="123" t="s">
        <v>154</v>
      </c>
      <c r="F18" s="123"/>
      <c r="G18" s="123"/>
      <c r="H18" s="50" t="s">
        <v>199</v>
      </c>
      <c r="I18" s="52" t="s">
        <v>155</v>
      </c>
      <c r="J18" s="53" t="s">
        <v>155</v>
      </c>
      <c r="K18" s="37"/>
      <c r="L18" s="88"/>
      <c r="M18" s="90"/>
      <c r="N18" s="90"/>
      <c r="O18" s="90"/>
      <c r="P18" s="90"/>
      <c r="Q18" s="90"/>
      <c r="R18" s="90"/>
      <c r="S18" s="90"/>
      <c r="T18" s="90"/>
      <c r="U18" s="90"/>
      <c r="V18" s="88"/>
    </row>
    <row r="19" spans="1:22" ht="15" customHeight="1" thickTop="1" x14ac:dyDescent="0.2">
      <c r="A19" s="37"/>
      <c r="B19" s="54"/>
      <c r="C19" s="55"/>
      <c r="D19" s="56" t="str">
        <f>CONCATENATE(B19," ",TEXT(C19,"000"))</f>
        <v xml:space="preserve"> 000</v>
      </c>
      <c r="E19" s="121"/>
      <c r="F19" s="121"/>
      <c r="G19" s="122"/>
      <c r="H19" s="57"/>
      <c r="I19" s="57"/>
      <c r="J19" s="58"/>
      <c r="K19" s="37"/>
      <c r="L19" s="88"/>
      <c r="M19" s="90"/>
      <c r="N19" s="90"/>
      <c r="O19" s="90"/>
      <c r="P19" s="90"/>
      <c r="Q19" s="90"/>
      <c r="R19" s="90"/>
      <c r="S19" s="90"/>
      <c r="T19" s="90"/>
      <c r="U19" s="90"/>
      <c r="V19" s="88"/>
    </row>
    <row r="20" spans="1:22" ht="15" customHeight="1" x14ac:dyDescent="0.2">
      <c r="A20" s="37"/>
      <c r="B20" s="59"/>
      <c r="C20" s="60"/>
      <c r="D20" s="61" t="str">
        <f t="shared" ref="D20:D26" si="0">CONCATENATE(B20," ",TEXT(C20,"000"))</f>
        <v xml:space="preserve"> 000</v>
      </c>
      <c r="E20" s="119"/>
      <c r="F20" s="119"/>
      <c r="G20" s="120"/>
      <c r="H20" s="62"/>
      <c r="I20" s="62"/>
      <c r="J20" s="63"/>
      <c r="K20" s="37"/>
      <c r="L20" s="135" t="s">
        <v>49</v>
      </c>
      <c r="M20" s="135"/>
      <c r="N20" s="135"/>
      <c r="O20" s="135"/>
      <c r="P20" s="135"/>
      <c r="Q20" s="135"/>
      <c r="R20" s="135"/>
      <c r="S20" s="135"/>
      <c r="T20" s="135"/>
      <c r="U20" s="135"/>
      <c r="V20" s="135"/>
    </row>
    <row r="21" spans="1:22" ht="15" customHeight="1" x14ac:dyDescent="0.2">
      <c r="A21" s="37"/>
      <c r="B21" s="64"/>
      <c r="C21" s="65"/>
      <c r="D21" s="56" t="str">
        <f t="shared" si="0"/>
        <v xml:space="preserve"> 000</v>
      </c>
      <c r="E21" s="117"/>
      <c r="F21" s="117"/>
      <c r="G21" s="118"/>
      <c r="H21" s="66"/>
      <c r="I21" s="66"/>
      <c r="J21" s="58"/>
      <c r="K21" s="37"/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</row>
    <row r="22" spans="1:22" ht="15" customHeight="1" x14ac:dyDescent="0.2">
      <c r="A22" s="37"/>
      <c r="B22" s="59"/>
      <c r="C22" s="60"/>
      <c r="D22" s="61" t="str">
        <f t="shared" si="0"/>
        <v xml:space="preserve"> 000</v>
      </c>
      <c r="E22" s="119"/>
      <c r="F22" s="119"/>
      <c r="G22" s="120"/>
      <c r="H22" s="62"/>
      <c r="I22" s="62"/>
      <c r="J22" s="63"/>
      <c r="K22" s="37"/>
      <c r="L22" s="21"/>
      <c r="M22" s="22"/>
      <c r="N22" s="87" t="s">
        <v>1356</v>
      </c>
      <c r="O22" s="86"/>
      <c r="P22" s="86"/>
      <c r="Q22" s="116" t="s">
        <v>1357</v>
      </c>
      <c r="R22" s="116"/>
      <c r="S22" s="22"/>
      <c r="T22" s="22"/>
      <c r="U22" s="21"/>
      <c r="V22" s="21"/>
    </row>
    <row r="23" spans="1:22" ht="15" customHeight="1" x14ac:dyDescent="0.2">
      <c r="A23" s="37"/>
      <c r="B23" s="64"/>
      <c r="C23" s="65"/>
      <c r="D23" s="56" t="str">
        <f t="shared" si="0"/>
        <v xml:space="preserve"> 000</v>
      </c>
      <c r="E23" s="117"/>
      <c r="F23" s="117"/>
      <c r="G23" s="118"/>
      <c r="H23" s="66"/>
      <c r="I23" s="66"/>
      <c r="J23" s="58"/>
      <c r="K23" s="37"/>
      <c r="L23" s="88"/>
      <c r="M23" s="91">
        <f t="array" ref="M23">SUMPRODUCT(--($D$19:$D$27="JMC 030")+($D$34:$D$42="JMC 030")+($D$54:$D$62="JMC 030")+($D$68:$D$76="JMC 030")+($D$82:$D$90="JMC 030")+($D$104:$D$112="JMC 030")+($D$118:$D$126="JMC 030")+($D$132:$D$140="JMC 030")+($D$154:$D$162="JMC 030")+($D$168:$D$176="JMC 030")+($D$183:$D$191="JMC 030"))</f>
        <v>0</v>
      </c>
      <c r="N23" s="90" t="s">
        <v>157</v>
      </c>
      <c r="O23" s="88"/>
      <c r="P23" s="91" t="str">
        <f t="array" ref="P23:P39">IF($B$11="Public Relations",PR_CHECK,IF($B$11="Advertising",ADVG_CHECK,IF($B$11="Digital Media Production",MDPR_CHECK,IF($B$11="Magazines",MMAG_CHECK,IF($B$11="News",MNEW_CHECK,IF($B$11="Strategic Political Communication",SPC_CHECK,""))))))</f>
        <v/>
      </c>
      <c r="Q23" s="90" t="str">
        <f t="array" ref="Q23:R39">IF($B$11="PUBLIC RELATIONS", PR,IF($B$11="Advertising",ADVG,IF($B$11="Magazines",MMAG,IF($B$11="News",MNEW,IF($B$11="Digital Media Production",MDPR,IF($B$11="Strategic Political Communication",SPC,""))))))</f>
        <v/>
      </c>
      <c r="R23" s="90" t="str">
        <v/>
      </c>
      <c r="S23" s="90"/>
      <c r="T23" s="90"/>
      <c r="U23" s="90"/>
      <c r="V23" s="88"/>
    </row>
    <row r="24" spans="1:22" ht="15" customHeight="1" x14ac:dyDescent="0.2">
      <c r="A24" s="37"/>
      <c r="B24" s="59"/>
      <c r="C24" s="67"/>
      <c r="D24" s="61" t="str">
        <f t="shared" si="0"/>
        <v xml:space="preserve"> 000</v>
      </c>
      <c r="E24" s="119"/>
      <c r="F24" s="119"/>
      <c r="G24" s="120"/>
      <c r="H24" s="62"/>
      <c r="I24" s="62"/>
      <c r="J24" s="63"/>
      <c r="K24" s="37"/>
      <c r="L24" s="88"/>
      <c r="M24" s="91">
        <f t="array" ref="M24">SUMPRODUCT(--($D$19:$D$27="JMC 031")+($D$34:$D$42="JMC 031")+($D$54:$D$62="JMC 031")+($D$68:$D$76="JMC 031")+($D$82:$D$90="JMC 031")+($D$104:$D$112="JMC 031")+($D$118:$D$126="JMC 031")+($D$132:$D$140="JMC 031")+($D$154:$D$162="JMC 031")+($D$168:$D$176="JMC 031")+($D$183:$D$191="JMC 031"))</f>
        <v>0</v>
      </c>
      <c r="N24" s="90" t="s">
        <v>158</v>
      </c>
      <c r="O24" s="88"/>
      <c r="P24" s="91" t="str">
        <v/>
      </c>
      <c r="Q24" s="90" t="str">
        <v/>
      </c>
      <c r="R24" s="90" t="str">
        <v/>
      </c>
      <c r="S24" s="90"/>
      <c r="T24" s="90"/>
      <c r="U24" s="90"/>
      <c r="V24" s="88"/>
    </row>
    <row r="25" spans="1:22" ht="15" customHeight="1" x14ac:dyDescent="0.2">
      <c r="A25" s="37"/>
      <c r="B25" s="64"/>
      <c r="C25" s="65"/>
      <c r="D25" s="56" t="str">
        <f t="shared" si="0"/>
        <v xml:space="preserve"> 000</v>
      </c>
      <c r="E25" s="117"/>
      <c r="F25" s="117"/>
      <c r="G25" s="118"/>
      <c r="H25" s="66"/>
      <c r="I25" s="66"/>
      <c r="J25" s="58"/>
      <c r="K25" s="37"/>
      <c r="L25" s="88"/>
      <c r="M25" s="91">
        <f t="array" ref="M25">SUMPRODUCT(--($D$19:$D$27="JMC 040")+($D$34:$D$42="JMC 040")+($D$54:$D$62="JMC 040")+($D$68:$D$76="JMC 040")+($D$82:$D$90="JMC 040")+($D$104:$D$112="JMC 040")+($D$118:$D$126="JMC 040")+($D$132:$D$140="JMC 040")+($D$154:$D$162="JMC 040")+($D$168:$D$176="JMC 040")+($D$183:$D$191="JMC 040"))</f>
        <v>0</v>
      </c>
      <c r="N25" s="90" t="s">
        <v>159</v>
      </c>
      <c r="O25" s="88"/>
      <c r="P25" s="91" t="str">
        <v/>
      </c>
      <c r="Q25" s="90" t="str">
        <v/>
      </c>
      <c r="R25" s="90" t="str">
        <v/>
      </c>
      <c r="S25" s="90"/>
      <c r="T25" s="90"/>
      <c r="U25" s="90"/>
      <c r="V25" s="88"/>
    </row>
    <row r="26" spans="1:22" ht="15" customHeight="1" x14ac:dyDescent="0.2">
      <c r="A26" s="37"/>
      <c r="B26" s="59"/>
      <c r="C26" s="60"/>
      <c r="D26" s="61" t="str">
        <f t="shared" si="0"/>
        <v xml:space="preserve"> 000</v>
      </c>
      <c r="E26" s="119"/>
      <c r="F26" s="119"/>
      <c r="G26" s="120"/>
      <c r="H26" s="62"/>
      <c r="I26" s="62"/>
      <c r="J26" s="63"/>
      <c r="K26" s="37"/>
      <c r="L26" s="88"/>
      <c r="M26" s="91">
        <f>SUMPRODUCT(--($D$19:$D$27="JMC 041")+($D$34:$D$42="JMC 041")+($D$54:$D$62="JMC 041")+($D$68:$D$76="JMC 041")+($D$82:$D$90="JMC 041")+($D$104:$D$112="JMC 041")+($D$118:$D$126="JMC 041")+($D$132:$D$140="JMC 041")+($D$154:$D$162="JMC 041")+($D$168:$D$176="JMC 041")+($D$183:$D$191="JMC 041"))</f>
        <v>0</v>
      </c>
      <c r="N26" s="90" t="s">
        <v>160</v>
      </c>
      <c r="O26" s="88"/>
      <c r="P26" s="91" t="str">
        <v/>
      </c>
      <c r="Q26" s="90" t="str">
        <v/>
      </c>
      <c r="R26" s="90" t="str">
        <v/>
      </c>
      <c r="S26" s="90"/>
      <c r="T26" s="90"/>
      <c r="U26" s="90"/>
      <c r="V26" s="88"/>
    </row>
    <row r="27" spans="1:22" ht="15" customHeight="1" x14ac:dyDescent="0.2">
      <c r="A27" s="37"/>
      <c r="B27" s="68"/>
      <c r="C27" s="69"/>
      <c r="D27" s="70" t="str">
        <f>CONCATENATE(B27," ",TEXT(C27,"000"))</f>
        <v xml:space="preserve"> 000</v>
      </c>
      <c r="E27" s="124"/>
      <c r="F27" s="124"/>
      <c r="G27" s="125"/>
      <c r="H27" s="71"/>
      <c r="I27" s="71"/>
      <c r="J27" s="72"/>
      <c r="K27" s="37"/>
      <c r="L27" s="88"/>
      <c r="M27" s="91">
        <f>SUMPRODUCT(--($D$19:$D$27="JMC 054")+($D$34:$D$42="JMC 054")+($D$54:$D$62="JMC 054")+($D$68:$D$76="JMC 054")+($D$82:$D$90="JMC 054")+($D$104:$D$112="JMC 054")+($D$118:$D$126="JMC 054")+($D$132:$D$140="JMC 054")+($D$154:$D$162="JMC 054")+($D$168:$D$176="JMC 054")+($D$183:$D$191="JMC 054"))</f>
        <v>0</v>
      </c>
      <c r="N27" s="90" t="s">
        <v>161</v>
      </c>
      <c r="O27" s="88"/>
      <c r="P27" s="91" t="str">
        <v/>
      </c>
      <c r="Q27" s="90" t="str">
        <v/>
      </c>
      <c r="R27" s="90" t="str">
        <v/>
      </c>
      <c r="S27" s="90"/>
      <c r="T27" s="90"/>
      <c r="U27" s="90"/>
      <c r="V27" s="88"/>
    </row>
    <row r="28" spans="1:22" ht="15" customHeight="1" thickBot="1" x14ac:dyDescent="0.25">
      <c r="A28" s="37"/>
      <c r="B28" s="73"/>
      <c r="C28" s="74"/>
      <c r="D28" s="74"/>
      <c r="E28" s="74"/>
      <c r="F28" s="74" t="s">
        <v>198</v>
      </c>
      <c r="G28" s="74"/>
      <c r="H28" s="74">
        <f>SUM(H19:H27)</f>
        <v>0</v>
      </c>
      <c r="I28" s="74"/>
      <c r="J28" s="75"/>
      <c r="K28" s="37"/>
      <c r="L28" s="88"/>
      <c r="M28" s="91">
        <f>SUMPRODUCT(--($D$19:$D$27="JMC 055")+($D$34:$D$42="JMC 055")+($D$54:$D$62="JMC 055")+($D$68:$D$76="JMC 055")+($D$82:$D$90="JMC 055")+($D$104:$D$112="JMC 055")+($D$118:$D$126="JMC 055")+($D$132:$D$140="JMC 055")+($D$154:$D$162="JMC 055")+($D$168:$D$176="JMC 055")+($D$183:$D$191="JMC 055"))</f>
        <v>0</v>
      </c>
      <c r="N28" s="90" t="s">
        <v>162</v>
      </c>
      <c r="O28" s="88"/>
      <c r="P28" s="91" t="str">
        <v/>
      </c>
      <c r="Q28" s="90" t="str">
        <v/>
      </c>
      <c r="R28" s="90" t="str">
        <v/>
      </c>
      <c r="S28" s="90"/>
      <c r="T28" s="90"/>
      <c r="U28" s="90"/>
      <c r="V28" s="88"/>
    </row>
    <row r="29" spans="1:22" ht="15" customHeight="1" x14ac:dyDescent="0.2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88"/>
      <c r="M29" s="91">
        <f>SUMPRODUCT(--($D$19:$D$27="JMC 059")+($D$34:$D$42="JMC 059")+($D$54:$D$62="JMC 059")+($D$68:$D$76="JMC 059")+($D$82:$D$90="JMC 059")+($D$104:$D$112="JMC 059")+($D$118:$D$126="JMC 059")+($D$132:$D$140="JMC 059")+($D$154:$D$162="JMC 059")+($D$168:$D$176="JMC 059")+($D$183:$D$191="JMC 059"))</f>
        <v>0</v>
      </c>
      <c r="N29" s="90" t="s">
        <v>163</v>
      </c>
      <c r="O29" s="88"/>
      <c r="P29" s="91" t="str">
        <v/>
      </c>
      <c r="Q29" s="90" t="str">
        <v/>
      </c>
      <c r="R29" s="90" t="str">
        <v/>
      </c>
      <c r="S29" s="90"/>
      <c r="T29" s="90"/>
      <c r="U29" s="90"/>
      <c r="V29" s="88"/>
    </row>
    <row r="30" spans="1:22" ht="15" customHeight="1" x14ac:dyDescent="0.2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88"/>
      <c r="M30" s="91">
        <f>SUMPRODUCT(--($D$19:$D$27="JMC 104")+($D$34:$D$42="JMC 104")+($D$54:$D$62="JMC 104")+($D$68:$D$76="JMC 104")+($D$82:$D$90="JMC 104")+($D$104:$D$112="JMC 104")+($D$118:$D$126="JMC 104")+($D$132:$D$140="JMC 104")+($D$154:$D$162="JMC 104")+($D$168:$D$176="JMC 104")+($D$183:$D$191="JMC 104"))</f>
        <v>0</v>
      </c>
      <c r="N30" s="90" t="s">
        <v>164</v>
      </c>
      <c r="O30" s="88"/>
      <c r="P30" s="91" t="str">
        <v/>
      </c>
      <c r="Q30" s="90" t="str">
        <v/>
      </c>
      <c r="R30" s="90" t="str">
        <v/>
      </c>
      <c r="S30" s="90"/>
      <c r="T30" s="90"/>
      <c r="U30" s="90"/>
      <c r="V30" s="88"/>
    </row>
    <row r="31" spans="1:22" ht="15" customHeight="1" thickBot="1" x14ac:dyDescent="0.25">
      <c r="A31" s="37"/>
      <c r="B31" s="37"/>
      <c r="C31" s="37"/>
      <c r="D31" s="37"/>
      <c r="E31" s="37"/>
      <c r="F31" s="44"/>
      <c r="G31" s="37"/>
      <c r="H31" s="37"/>
      <c r="I31" s="37"/>
      <c r="J31" s="37"/>
      <c r="K31" s="37"/>
      <c r="L31" s="88"/>
      <c r="M31" s="91">
        <f>SUMPRODUCT(--($D$19:$D$27="POLS 001")+($D$34:$D$42="POLS 001")+($D$54:$D$62="POLS 001")+($D$68:$D$76="POLS 001")+($D$82:$D$90="POLS 001")+($D$104:$D$112="POLS 001")+($D$118:$D$126="POLS 001")+($D$132:$D$140="POLS 001")+($D$154:$D$162="POLS 001")+($D$168:$D$176="POLS 001")+($D$183:$D$191="POLS 001"))</f>
        <v>0</v>
      </c>
      <c r="N31" s="90" t="s">
        <v>165</v>
      </c>
      <c r="O31" s="88"/>
      <c r="P31" s="91" t="str">
        <v/>
      </c>
      <c r="Q31" s="90" t="str">
        <v/>
      </c>
      <c r="R31" s="90" t="str">
        <v/>
      </c>
      <c r="S31" s="90"/>
      <c r="T31" s="90"/>
      <c r="U31" s="90"/>
      <c r="V31" s="88"/>
    </row>
    <row r="32" spans="1:22" ht="15" customHeight="1" x14ac:dyDescent="0.2">
      <c r="A32" s="37"/>
      <c r="B32" s="76" t="s">
        <v>5</v>
      </c>
      <c r="C32" s="77"/>
      <c r="D32" s="77"/>
      <c r="E32" s="77"/>
      <c r="F32" s="78"/>
      <c r="G32" s="79"/>
      <c r="H32" s="79"/>
      <c r="I32" s="79"/>
      <c r="J32" s="80"/>
      <c r="K32" s="37"/>
      <c r="L32" s="88"/>
      <c r="M32" s="91">
        <f>SUMPRODUCT(--($B$19:$B$27="SCSS")+($B$34:$B$42="SCSS")+($B$54:AT$62="SCSS")+($B$68:$B$76="SCSS")+($B$82:$B$90="SCSS")+($B$104:$B$112="SCSS")+($B$118:$B$126="SCSS")+($B$132:$B$140="SCSS")+($B$154:$B$162="SCSS")+($B$168:$B$176="SCSS")+($B$183:$B$191="SCSS"))</f>
        <v>0</v>
      </c>
      <c r="N32" s="90" t="s">
        <v>200</v>
      </c>
      <c r="O32" s="88"/>
      <c r="P32" s="91" t="str">
        <v/>
      </c>
      <c r="Q32" s="90" t="str">
        <v/>
      </c>
      <c r="R32" s="90" t="str">
        <v/>
      </c>
      <c r="S32" s="90"/>
      <c r="T32" s="90"/>
      <c r="U32" s="90"/>
      <c r="V32" s="88"/>
    </row>
    <row r="33" spans="1:22" ht="15" customHeight="1" thickBot="1" x14ac:dyDescent="0.25">
      <c r="A33" s="37"/>
      <c r="B33" s="49" t="s">
        <v>177</v>
      </c>
      <c r="C33" s="50" t="s">
        <v>6</v>
      </c>
      <c r="D33" s="50"/>
      <c r="E33" s="123" t="s">
        <v>154</v>
      </c>
      <c r="F33" s="123"/>
      <c r="G33" s="123"/>
      <c r="H33" s="50" t="s">
        <v>199</v>
      </c>
      <c r="I33" s="50" t="s">
        <v>155</v>
      </c>
      <c r="J33" s="81" t="s">
        <v>155</v>
      </c>
      <c r="K33" s="37"/>
      <c r="L33" s="88"/>
      <c r="M33" s="88"/>
      <c r="N33" s="90"/>
      <c r="O33" s="88"/>
      <c r="P33" s="91" t="str">
        <v/>
      </c>
      <c r="Q33" s="90" t="str">
        <v/>
      </c>
      <c r="R33" s="90" t="str">
        <v/>
      </c>
      <c r="S33" s="90"/>
      <c r="T33" s="90"/>
      <c r="U33" s="90"/>
      <c r="V33" s="88"/>
    </row>
    <row r="34" spans="1:22" ht="15" customHeight="1" thickTop="1" x14ac:dyDescent="0.2">
      <c r="A34" s="37"/>
      <c r="B34" s="54"/>
      <c r="C34" s="55"/>
      <c r="D34" s="56" t="str">
        <f t="shared" ref="D34:D41" si="1">CONCATENATE(B34," ",TEXT(C34,"000"))</f>
        <v xml:space="preserve"> 000</v>
      </c>
      <c r="E34" s="121"/>
      <c r="F34" s="121"/>
      <c r="G34" s="122"/>
      <c r="H34" s="57"/>
      <c r="I34" s="57"/>
      <c r="J34" s="58"/>
      <c r="K34" s="37"/>
      <c r="L34" s="88"/>
      <c r="M34" s="88"/>
      <c r="N34" s="90"/>
      <c r="O34" s="88"/>
      <c r="P34" s="91" t="str">
        <v/>
      </c>
      <c r="Q34" s="90" t="str">
        <v/>
      </c>
      <c r="R34" s="90" t="str">
        <v/>
      </c>
      <c r="S34" s="90"/>
      <c r="T34" s="90"/>
      <c r="U34" s="90"/>
      <c r="V34" s="88"/>
    </row>
    <row r="35" spans="1:22" ht="15" customHeight="1" x14ac:dyDescent="0.2">
      <c r="A35" s="37"/>
      <c r="B35" s="59"/>
      <c r="C35" s="60"/>
      <c r="D35" s="61" t="str">
        <f t="shared" si="1"/>
        <v xml:space="preserve"> 000</v>
      </c>
      <c r="E35" s="119"/>
      <c r="F35" s="119"/>
      <c r="G35" s="120"/>
      <c r="H35" s="62"/>
      <c r="I35" s="62"/>
      <c r="J35" s="63"/>
      <c r="K35" s="37"/>
      <c r="L35" s="88"/>
      <c r="M35" s="88"/>
      <c r="N35" s="90"/>
      <c r="O35" s="88"/>
      <c r="P35" s="91" t="str">
        <v/>
      </c>
      <c r="Q35" s="90" t="str">
        <v/>
      </c>
      <c r="R35" s="90" t="str">
        <v/>
      </c>
      <c r="S35" s="90"/>
      <c r="T35" s="90"/>
      <c r="U35" s="90"/>
      <c r="V35" s="88"/>
    </row>
    <row r="36" spans="1:22" ht="15" customHeight="1" x14ac:dyDescent="0.2">
      <c r="A36" s="37"/>
      <c r="B36" s="64"/>
      <c r="C36" s="65"/>
      <c r="D36" s="56" t="str">
        <f t="shared" si="1"/>
        <v xml:space="preserve"> 000</v>
      </c>
      <c r="E36" s="117"/>
      <c r="F36" s="117"/>
      <c r="G36" s="118"/>
      <c r="H36" s="66"/>
      <c r="I36" s="66"/>
      <c r="J36" s="58"/>
      <c r="K36" s="37"/>
      <c r="L36" s="88"/>
      <c r="M36" s="88"/>
      <c r="N36" s="90"/>
      <c r="O36" s="88"/>
      <c r="P36" s="91" t="str">
        <v/>
      </c>
      <c r="Q36" s="90" t="str">
        <v/>
      </c>
      <c r="R36" s="90" t="str">
        <v/>
      </c>
      <c r="S36" s="90"/>
      <c r="T36" s="90"/>
      <c r="U36" s="90"/>
      <c r="V36" s="88"/>
    </row>
    <row r="37" spans="1:22" ht="15" customHeight="1" x14ac:dyDescent="0.2">
      <c r="A37" s="37"/>
      <c r="B37" s="59"/>
      <c r="C37" s="60"/>
      <c r="D37" s="61" t="str">
        <f t="shared" si="1"/>
        <v xml:space="preserve"> 000</v>
      </c>
      <c r="E37" s="119"/>
      <c r="F37" s="119"/>
      <c r="G37" s="120"/>
      <c r="H37" s="62"/>
      <c r="I37" s="62"/>
      <c r="J37" s="63"/>
      <c r="K37" s="37"/>
      <c r="L37" s="88"/>
      <c r="M37" s="88"/>
      <c r="N37" s="88"/>
      <c r="O37" s="88"/>
      <c r="P37" s="91" t="str">
        <v/>
      </c>
      <c r="Q37" s="90" t="str">
        <v/>
      </c>
      <c r="R37" s="90" t="str">
        <v/>
      </c>
      <c r="S37" s="90"/>
      <c r="T37" s="90"/>
      <c r="U37" s="90"/>
      <c r="V37" s="88"/>
    </row>
    <row r="38" spans="1:22" ht="15" customHeight="1" x14ac:dyDescent="0.2">
      <c r="A38" s="37"/>
      <c r="B38" s="64"/>
      <c r="C38" s="65"/>
      <c r="D38" s="56" t="str">
        <f t="shared" si="1"/>
        <v xml:space="preserve"> 000</v>
      </c>
      <c r="E38" s="117"/>
      <c r="F38" s="117"/>
      <c r="G38" s="118"/>
      <c r="H38" s="66"/>
      <c r="I38" s="66"/>
      <c r="J38" s="58"/>
      <c r="K38" s="37"/>
      <c r="L38" s="88"/>
      <c r="M38" s="88"/>
      <c r="N38" s="88"/>
      <c r="O38" s="88"/>
      <c r="P38" s="91" t="str">
        <v/>
      </c>
      <c r="Q38" s="90" t="str">
        <v/>
      </c>
      <c r="R38" s="90" t="str">
        <v/>
      </c>
      <c r="S38" s="90"/>
      <c r="T38" s="90"/>
      <c r="U38" s="90"/>
      <c r="V38" s="88"/>
    </row>
    <row r="39" spans="1:22" ht="15" customHeight="1" x14ac:dyDescent="0.2">
      <c r="A39" s="37"/>
      <c r="B39" s="59"/>
      <c r="C39" s="60"/>
      <c r="D39" s="61" t="str">
        <f t="shared" si="1"/>
        <v xml:space="preserve"> 000</v>
      </c>
      <c r="E39" s="119"/>
      <c r="F39" s="119"/>
      <c r="G39" s="120"/>
      <c r="H39" s="62"/>
      <c r="I39" s="62"/>
      <c r="J39" s="63"/>
      <c r="K39" s="37"/>
      <c r="L39" s="88"/>
      <c r="M39" s="88"/>
      <c r="N39" s="88"/>
      <c r="O39" s="88"/>
      <c r="P39" s="88" t="str">
        <v/>
      </c>
      <c r="Q39" s="90" t="str">
        <v/>
      </c>
      <c r="R39" s="90" t="str">
        <v/>
      </c>
      <c r="S39" s="90"/>
      <c r="T39" s="90"/>
      <c r="U39" s="90"/>
      <c r="V39" s="88"/>
    </row>
    <row r="40" spans="1:22" ht="15" customHeight="1" x14ac:dyDescent="0.2">
      <c r="A40" s="37"/>
      <c r="B40" s="64"/>
      <c r="C40" s="65"/>
      <c r="D40" s="56" t="str">
        <f t="shared" si="1"/>
        <v xml:space="preserve"> 000</v>
      </c>
      <c r="E40" s="117"/>
      <c r="F40" s="117"/>
      <c r="G40" s="118"/>
      <c r="H40" s="66"/>
      <c r="I40" s="66"/>
      <c r="J40" s="58"/>
      <c r="K40" s="37"/>
      <c r="L40" s="88"/>
      <c r="M40" s="92"/>
      <c r="N40" s="92"/>
      <c r="O40" s="92"/>
      <c r="P40" s="92"/>
      <c r="Q40" s="92"/>
      <c r="R40" s="92"/>
      <c r="S40" s="92"/>
      <c r="T40" s="92"/>
      <c r="U40" s="92"/>
      <c r="V40" s="92"/>
    </row>
    <row r="41" spans="1:22" ht="15" customHeight="1" x14ac:dyDescent="0.2">
      <c r="A41" s="37"/>
      <c r="B41" s="59"/>
      <c r="C41" s="60"/>
      <c r="D41" s="61" t="str">
        <f t="shared" si="1"/>
        <v xml:space="preserve"> 000</v>
      </c>
      <c r="E41" s="119"/>
      <c r="F41" s="119"/>
      <c r="G41" s="120"/>
      <c r="H41" s="62"/>
      <c r="I41" s="62"/>
      <c r="J41" s="63"/>
      <c r="K41" s="37"/>
      <c r="L41" s="135" t="s">
        <v>1326</v>
      </c>
      <c r="M41" s="135"/>
      <c r="N41" s="135"/>
      <c r="O41" s="135"/>
      <c r="P41" s="135"/>
      <c r="Q41" s="135"/>
      <c r="R41" s="135"/>
      <c r="S41" s="135"/>
      <c r="T41" s="135"/>
      <c r="U41" s="135"/>
      <c r="V41" s="135"/>
    </row>
    <row r="42" spans="1:22" ht="15" customHeight="1" x14ac:dyDescent="0.2">
      <c r="A42" s="37"/>
      <c r="B42" s="68"/>
      <c r="C42" s="69"/>
      <c r="D42" s="70" t="str">
        <f>CONCATENATE(B42," ",TEXT(C42,"000"))</f>
        <v xml:space="preserve"> 000</v>
      </c>
      <c r="E42" s="124"/>
      <c r="F42" s="124"/>
      <c r="G42" s="125"/>
      <c r="H42" s="71"/>
      <c r="I42" s="71"/>
      <c r="J42" s="72"/>
      <c r="K42" s="37"/>
      <c r="L42" s="135"/>
      <c r="M42" s="135"/>
      <c r="N42" s="135"/>
      <c r="O42" s="135"/>
      <c r="P42" s="135"/>
      <c r="Q42" s="135"/>
      <c r="R42" s="135"/>
      <c r="S42" s="135"/>
      <c r="T42" s="135"/>
      <c r="U42" s="135"/>
      <c r="V42" s="135"/>
    </row>
    <row r="43" spans="1:22" ht="15" customHeight="1" thickBot="1" x14ac:dyDescent="0.25">
      <c r="A43" s="37"/>
      <c r="B43" s="73"/>
      <c r="C43" s="74"/>
      <c r="D43" s="74"/>
      <c r="E43" s="74"/>
      <c r="F43" s="74" t="s">
        <v>198</v>
      </c>
      <c r="G43" s="74"/>
      <c r="H43" s="74">
        <f>SUM(H34:H42)</f>
        <v>0</v>
      </c>
      <c r="I43" s="74"/>
      <c r="J43" s="75"/>
      <c r="K43" s="37"/>
      <c r="L43" s="21"/>
      <c r="M43" s="23">
        <f>SUM(P44:P50)</f>
        <v>0</v>
      </c>
      <c r="N43" s="136" t="s">
        <v>1353</v>
      </c>
      <c r="O43" s="136"/>
      <c r="P43" s="136"/>
      <c r="Q43" s="23">
        <f>SUM(T44:T50)</f>
        <v>0</v>
      </c>
      <c r="R43" s="136" t="s">
        <v>1327</v>
      </c>
      <c r="S43" s="136"/>
      <c r="T43" s="136"/>
      <c r="U43" s="21"/>
      <c r="V43" s="21"/>
    </row>
    <row r="44" spans="1:22" ht="15" customHeight="1" x14ac:dyDescent="0.2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88"/>
      <c r="M44" s="90"/>
      <c r="N44" s="90"/>
      <c r="O44" s="90" t="str">
        <f t="array" ref="O44:O50">IFERROR(INDEX(AOC_AS_NON_100L!$A$2:$A$100,SMALL(IF(AOC_AS_NON_100L!$A$2:$A$100&lt;&gt;"",ROW(AOC_AS_NON_100L!$A$2:$A$100)-ROW(AOC_AS_NON_100L!$A$2)+1),ROW()-43),1),"")</f>
        <v/>
      </c>
      <c r="P44" s="93" t="str">
        <f t="array" ref="P44">IFERROR(INDEX(AOC_AS_NON_100L!$B$2:$B$100,SMALL(IF(AOC_AS_NON_100L!$B$2:$B$100&lt;&gt;"",ROW(AOC_AS_NON_100L!$B$2:$B$100)-ROW(AOC_AS_NON_100L!$B$2)+1),ROW()-43),1),"")</f>
        <v/>
      </c>
      <c r="Q44" s="90"/>
      <c r="R44" s="90"/>
      <c r="S44" s="90" t="str">
        <f t="array" ref="S44:S50">IFERROR(INDEX(AOC_AS_NON_100L!$D$2:$D$100,SMALL(IF(AOC_AS_NON_100L!$D$2:$D$100&lt;&gt;"",ROW(AOC_AS_NON_100L!$D$2:$D$100)-ROW(AOC_AS_NON_100L!$D2)+1),ROW()-43),1),"")</f>
        <v/>
      </c>
      <c r="T44" s="93" t="str">
        <f t="array" ref="T44:T50">IFERROR(INDEX(AOC_AS_NON_100L!$E$2:$E$100,SMALL(IF(AOC_AS_NON_100L!$E$2:$E$100&lt;&gt;"",ROW(AOC_AS_NON_100L!$E$2:$E$100)-ROW(AOC_AS_NON_100L!$E$2)+1),ROW()-43),1),"")</f>
        <v/>
      </c>
      <c r="U44" s="88"/>
      <c r="V44" s="88"/>
    </row>
    <row r="45" spans="1:22" ht="15" customHeight="1" x14ac:dyDescent="0.2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88"/>
      <c r="M45" s="90"/>
      <c r="N45" s="90"/>
      <c r="O45" s="90" t="str">
        <v/>
      </c>
      <c r="P45" s="93" t="str">
        <f t="array" ref="P45">IFERROR(INDEX(AOC_AS_NON_100L!$B$2:$B$100,SMALL(IF(AOC_AS_NON_100L!$B$2:$B$100&lt;&gt;"",ROW(AOC_AS_NON_100L!$B$2:$B$100)-ROW(AOC_AS_NON_100L!$B$2)+1),ROW()-43),1),"")</f>
        <v/>
      </c>
      <c r="Q45" s="90"/>
      <c r="R45" s="90"/>
      <c r="S45" s="90" t="str">
        <v/>
      </c>
      <c r="T45" s="93" t="str">
        <v/>
      </c>
      <c r="U45" s="88"/>
      <c r="V45" s="88"/>
    </row>
    <row r="46" spans="1:22" ht="15" customHeight="1" x14ac:dyDescent="0.2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88"/>
      <c r="M46" s="90"/>
      <c r="N46" s="90"/>
      <c r="O46" s="90" t="str">
        <v/>
      </c>
      <c r="P46" s="93" t="str">
        <f t="array" ref="P46">IFERROR(INDEX(AOC_AS_NON_100L!$B$2:$B$100,SMALL(IF(AOC_AS_NON_100L!$B$2:$B$100&lt;&gt;"",ROW(AOC_AS_NON_100L!$B$2:$B$100)-ROW(AOC_AS_NON_100L!$B$2)+1),ROW()-43),1),"")</f>
        <v/>
      </c>
      <c r="Q46" s="90"/>
      <c r="R46" s="90"/>
      <c r="S46" s="90" t="str">
        <v/>
      </c>
      <c r="T46" s="93" t="str">
        <v/>
      </c>
      <c r="U46" s="88"/>
      <c r="V46" s="88"/>
    </row>
    <row r="47" spans="1:22" ht="15" customHeight="1" x14ac:dyDescent="0.2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88"/>
      <c r="M47" s="90"/>
      <c r="N47" s="90"/>
      <c r="O47" s="90" t="str">
        <v/>
      </c>
      <c r="P47" s="93" t="str">
        <f t="array" ref="P47">IFERROR(INDEX(AOC_AS_NON_100L!$B$2:$B$100,SMALL(IF(AOC_AS_NON_100L!$B$2:$B$100&lt;&gt;"",ROW(AOC_AS_NON_100L!$B$2:$B$100)-ROW(AOC_AS_NON_100L!$B$2)+1),ROW()-43),1),"")</f>
        <v/>
      </c>
      <c r="Q47" s="90"/>
      <c r="R47" s="90"/>
      <c r="S47" s="90" t="str">
        <v/>
      </c>
      <c r="T47" s="93" t="str">
        <v/>
      </c>
      <c r="U47" s="88"/>
      <c r="V47" s="88"/>
    </row>
    <row r="48" spans="1:22" ht="15" customHeight="1" x14ac:dyDescent="0.2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88"/>
      <c r="M48" s="90"/>
      <c r="N48" s="90"/>
      <c r="O48" s="90" t="str">
        <v/>
      </c>
      <c r="P48" s="93" t="str">
        <f t="array" ref="P48">IFERROR(INDEX(AOC_AS_NON_100L!$B$2:$B$100,SMALL(IF(AOC_AS_NON_100L!$B$2:$B$100&lt;&gt;"",ROW(AOC_AS_NON_100L!$B$2:$B$100)-ROW(AOC_AS_NON_100L!$B$2)+1),ROW()-43),1),"")</f>
        <v/>
      </c>
      <c r="Q48" s="90"/>
      <c r="R48" s="90"/>
      <c r="S48" s="90" t="str">
        <v/>
      </c>
      <c r="T48" s="93" t="str">
        <v/>
      </c>
      <c r="U48" s="88"/>
      <c r="V48" s="88"/>
    </row>
    <row r="49" spans="1:22" ht="15" customHeight="1" x14ac:dyDescent="0.2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88"/>
      <c r="M49" s="90"/>
      <c r="N49" s="90"/>
      <c r="O49" s="90" t="str">
        <v/>
      </c>
      <c r="P49" s="93" t="str">
        <f t="array" ref="P49">IFERROR(INDEX(AOC_AS_NON_100L!$B$2:$B$100,SMALL(IF(AOC_AS_NON_100L!$B$2:$B$100&lt;&gt;"",ROW(AOC_AS_NON_100L!$B$2:$B$100)-ROW(AOC_AS_NON_100L!$B$2)+1),ROW()-43),1),"")</f>
        <v/>
      </c>
      <c r="Q49" s="90"/>
      <c r="R49" s="90"/>
      <c r="S49" s="90" t="str">
        <v/>
      </c>
      <c r="T49" s="93" t="str">
        <v/>
      </c>
      <c r="U49" s="88"/>
      <c r="V49" s="88"/>
    </row>
    <row r="50" spans="1:22" ht="15" customHeight="1" x14ac:dyDescent="0.2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88"/>
      <c r="M50" s="90"/>
      <c r="N50" s="90"/>
      <c r="O50" s="90" t="str">
        <v/>
      </c>
      <c r="P50" s="93" t="str">
        <f t="array" ref="P50">IFERROR(INDEX(AOC_AS_NON_100L!$B$2:$B$100,SMALL(IF(AOC_AS_NON_100L!$B$2:$B$100&lt;&gt;"",ROW(AOC_AS_NON_100L!$B$2:$B$100)-ROW(AOC_AS_NON_100L!$B$2)+1),ROW()-43),1),"")</f>
        <v/>
      </c>
      <c r="Q50" s="90"/>
      <c r="R50" s="90"/>
      <c r="S50" s="90" t="str">
        <v/>
      </c>
      <c r="T50" s="93" t="str">
        <v/>
      </c>
      <c r="U50" s="88"/>
      <c r="V50" s="88"/>
    </row>
    <row r="51" spans="1:22" ht="15" customHeight="1" thickBot="1" x14ac:dyDescent="0.25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110" t="s">
        <v>1354</v>
      </c>
      <c r="M51" s="111"/>
      <c r="N51" s="111"/>
      <c r="O51" s="111"/>
      <c r="P51" s="111"/>
      <c r="Q51" s="111"/>
      <c r="R51" s="111"/>
      <c r="S51" s="111"/>
      <c r="T51" s="111"/>
      <c r="U51" s="111"/>
      <c r="V51" s="112"/>
    </row>
    <row r="52" spans="1:22" ht="15" customHeight="1" x14ac:dyDescent="0.2">
      <c r="A52" s="37"/>
      <c r="B52" s="76" t="s">
        <v>5</v>
      </c>
      <c r="C52" s="77"/>
      <c r="D52" s="77"/>
      <c r="E52" s="77"/>
      <c r="F52" s="79"/>
      <c r="G52" s="79"/>
      <c r="H52" s="79"/>
      <c r="I52" s="79"/>
      <c r="J52" s="80"/>
      <c r="K52" s="37"/>
      <c r="L52" s="113"/>
      <c r="M52" s="114"/>
      <c r="N52" s="114"/>
      <c r="O52" s="114"/>
      <c r="P52" s="114"/>
      <c r="Q52" s="114"/>
      <c r="R52" s="114"/>
      <c r="S52" s="114"/>
      <c r="T52" s="114"/>
      <c r="U52" s="114"/>
      <c r="V52" s="115"/>
    </row>
    <row r="53" spans="1:22" ht="15" customHeight="1" thickBot="1" x14ac:dyDescent="0.25">
      <c r="A53" s="37"/>
      <c r="B53" s="49" t="s">
        <v>177</v>
      </c>
      <c r="C53" s="50" t="s">
        <v>6</v>
      </c>
      <c r="D53" s="50"/>
      <c r="E53" s="123" t="s">
        <v>154</v>
      </c>
      <c r="F53" s="123"/>
      <c r="G53" s="123"/>
      <c r="H53" s="50" t="s">
        <v>199</v>
      </c>
      <c r="I53" s="50" t="s">
        <v>155</v>
      </c>
      <c r="J53" s="81" t="s">
        <v>155</v>
      </c>
      <c r="K53" s="37"/>
      <c r="L53" s="95"/>
      <c r="M53" s="96"/>
      <c r="N53" s="96"/>
      <c r="O53" s="96"/>
      <c r="P53" s="96"/>
      <c r="Q53" s="96"/>
      <c r="R53" s="96"/>
      <c r="S53" s="96"/>
      <c r="T53" s="96"/>
      <c r="U53" s="96"/>
      <c r="V53" s="97"/>
    </row>
    <row r="54" spans="1:22" ht="15" customHeight="1" thickTop="1" x14ac:dyDescent="0.2">
      <c r="A54" s="37"/>
      <c r="B54" s="54"/>
      <c r="C54" s="55"/>
      <c r="D54" s="82" t="str">
        <f>CONCATENATE(B54," ",TEXT(C54,"000"))</f>
        <v xml:space="preserve"> 000</v>
      </c>
      <c r="E54" s="121"/>
      <c r="F54" s="121"/>
      <c r="G54" s="122"/>
      <c r="H54" s="57"/>
      <c r="I54" s="57"/>
      <c r="J54" s="58"/>
      <c r="K54" s="37"/>
      <c r="L54" s="95"/>
      <c r="M54" s="98" t="str">
        <f t="array" ref="M54:M73">IFERROR(INDEX(AOC_AS_NON_100L!$J$2:$J$21,SMALL(IF(AOC_AS_NON_100L!$J$2:$J$21&lt;&gt;"",ROW(AOC_AS_NON_100L!$J$2:$J$21)-ROW(AOC_AS_NON_100L!$J$2)+1),ROW()-53),1),"")</f>
        <v/>
      </c>
      <c r="N54" s="99" t="str">
        <f t="array" ref="N54:N73">IFERROR(INDEX(AOC_AS_NON_100L!$K$2:$K$21,SMALL(IF(AOC_AS_NON_100L!$K$2:$K$21&lt;&gt;"",ROW(AOC_AS_NON_100L!$K$2:$K$21)-ROW(AOC_AS_NON_100L!$K$2)+1),ROW()-53),1),"")</f>
        <v/>
      </c>
      <c r="O54" s="98" t="str">
        <f t="array" ref="O54:O73">IFERROR(INDEX(AOC_AS_NON_100L!$J$22:$J$41,SMALL(IF(AOC_AS_NON_100L!$J$22:$J$41&lt;&gt;"",ROW(AOC_AS_NON_100L!$J$22:$J$41)-ROW(AOC_AS_NON_100L!$J$22)+1),ROW()-53),1),"")</f>
        <v/>
      </c>
      <c r="P54" s="99" t="str">
        <f t="array" ref="P54:P73">IFERROR(INDEX(AOC_AS_NON_100L!$K$22:$K$41,SMALL(IF(AOC_AS_NON_100L!$K$22:$K$41&lt;&gt;"",ROW(AOC_AS_NON_100L!$K$22:$K$41)-ROW(AOC_AS_NON_100L!$K$22)+1),ROW()-53),1),"")</f>
        <v/>
      </c>
      <c r="Q54" s="98" t="str">
        <f t="array" ref="Q54:Q73">IFERROR(INDEX(AOC_AS_NON_100L!$J$42:$J$61,SMALL(IF(AOC_AS_NON_100L!$J$42:$J$61&lt;&gt;"",ROW(AOC_AS_NON_100L!$J$42:$J$61)-ROW(AOC_AS_NON_100L!$J$42)+1),ROW()-53),1),"")</f>
        <v/>
      </c>
      <c r="R54" s="99" t="str">
        <f t="array" ref="R54:R73">IFERROR(INDEX(AOC_AS_NON_100L!$K$42:$K$61,SMALL(IF(AOC_AS_NON_100L!$K$42:$K$61&lt;&gt;"",ROW(AOC_AS_NON_100L!$K$42:$K$61)-ROW(AOC_AS_NON_100L!$K$42)+1),ROW()-53),1),"")</f>
        <v/>
      </c>
      <c r="S54" s="98" t="str">
        <f t="array" ref="S54:S73">IFERROR(INDEX(AOC_AS_NON_100L!$J$62:$J$81,SMALL(IF(AOC_AS_NON_100L!$J$62:$J$81&lt;&gt;"",ROW(AOC_AS_NON_100L!$J$62:$J$81)-ROW(AOC_AS_NON_100L!$J$62)+1),ROW()-53),1),"")</f>
        <v/>
      </c>
      <c r="T54" s="99" t="str">
        <f t="array" ref="T54:T73">IFERROR(INDEX(AOC_AS_NON_100L!$K$62:$K$81,SMALL(IF(AOC_AS_NON_100L!$K$62:$K$81&lt;&gt;"",ROW(AOC_AS_NON_100L!$K$62:$K$81)-ROW(AOC_AS_NON_100L!$K$62)+1),ROW()-53),1),"")</f>
        <v/>
      </c>
      <c r="U54" s="98" t="str">
        <f t="array" ref="U54:U73">IFERROR(INDEX(AOC_AS_NON_100L!$J$82:$J$101,SMALL(IF(AOC_AS_NON_100L!$J$82:$J$101&lt;&gt;"",ROW(AOC_AS_NON_100L!$J$82:$J$101)-ROW(AOC_AS_NON_100L!$J$82)+1),ROW()-53),1),"")</f>
        <v/>
      </c>
      <c r="V54" s="100" t="str">
        <f t="array" ref="V54:V73">IFERROR(INDEX(AOC_AS_NON_100L!$K$82:$K$101,SMALL(IF(AOC_AS_NON_100L!$K$82:$K$101&lt;&gt;"",ROW(AOC_AS_NON_100L!$K$82:$K$101)-ROW(AOC_AS_NON_100L!$K$82)+1),ROW()-53),1),"")</f>
        <v/>
      </c>
    </row>
    <row r="55" spans="1:22" ht="15" customHeight="1" x14ac:dyDescent="0.2">
      <c r="A55" s="37"/>
      <c r="B55" s="59"/>
      <c r="C55" s="60"/>
      <c r="D55" s="83" t="str">
        <f t="shared" ref="D55:D61" si="2">CONCATENATE(B55," ",TEXT(C55,"000"))</f>
        <v xml:space="preserve"> 000</v>
      </c>
      <c r="E55" s="119"/>
      <c r="F55" s="119"/>
      <c r="G55" s="120"/>
      <c r="H55" s="62"/>
      <c r="I55" s="62"/>
      <c r="J55" s="63"/>
      <c r="K55" s="37"/>
      <c r="L55" s="95"/>
      <c r="M55" s="98" t="str">
        <v/>
      </c>
      <c r="N55" s="99" t="str">
        <v/>
      </c>
      <c r="O55" s="98" t="str">
        <v/>
      </c>
      <c r="P55" s="99" t="str">
        <v/>
      </c>
      <c r="Q55" s="98" t="str">
        <v/>
      </c>
      <c r="R55" s="99" t="str">
        <v/>
      </c>
      <c r="S55" s="98" t="str">
        <v/>
      </c>
      <c r="T55" s="99" t="str">
        <v/>
      </c>
      <c r="U55" s="98" t="str">
        <v/>
      </c>
      <c r="V55" s="100" t="str">
        <v/>
      </c>
    </row>
    <row r="56" spans="1:22" ht="15" customHeight="1" x14ac:dyDescent="0.2">
      <c r="A56" s="37"/>
      <c r="B56" s="64"/>
      <c r="C56" s="65"/>
      <c r="D56" s="82" t="str">
        <f t="shared" si="2"/>
        <v xml:space="preserve"> 000</v>
      </c>
      <c r="E56" s="117"/>
      <c r="F56" s="117"/>
      <c r="G56" s="118"/>
      <c r="H56" s="66"/>
      <c r="I56" s="66"/>
      <c r="J56" s="58"/>
      <c r="K56" s="37"/>
      <c r="L56" s="95"/>
      <c r="M56" s="98" t="str">
        <v/>
      </c>
      <c r="N56" s="99" t="str">
        <v/>
      </c>
      <c r="O56" s="98" t="str">
        <v/>
      </c>
      <c r="P56" s="99" t="str">
        <v/>
      </c>
      <c r="Q56" s="98" t="str">
        <v/>
      </c>
      <c r="R56" s="99" t="str">
        <v/>
      </c>
      <c r="S56" s="98" t="str">
        <v/>
      </c>
      <c r="T56" s="99" t="str">
        <v/>
      </c>
      <c r="U56" s="98" t="str">
        <v/>
      </c>
      <c r="V56" s="100" t="str">
        <v/>
      </c>
    </row>
    <row r="57" spans="1:22" ht="15" customHeight="1" x14ac:dyDescent="0.2">
      <c r="A57" s="37"/>
      <c r="B57" s="59"/>
      <c r="C57" s="60"/>
      <c r="D57" s="83" t="str">
        <f t="shared" si="2"/>
        <v xml:space="preserve"> 000</v>
      </c>
      <c r="E57" s="119"/>
      <c r="F57" s="119"/>
      <c r="G57" s="120"/>
      <c r="H57" s="62"/>
      <c r="I57" s="62"/>
      <c r="J57" s="63"/>
      <c r="K57" s="37"/>
      <c r="L57" s="95"/>
      <c r="M57" s="98" t="str">
        <v/>
      </c>
      <c r="N57" s="99" t="str">
        <v/>
      </c>
      <c r="O57" s="98" t="str">
        <v/>
      </c>
      <c r="P57" s="99" t="str">
        <v/>
      </c>
      <c r="Q57" s="98" t="str">
        <v/>
      </c>
      <c r="R57" s="99" t="str">
        <v/>
      </c>
      <c r="S57" s="98" t="str">
        <v/>
      </c>
      <c r="T57" s="99" t="str">
        <v/>
      </c>
      <c r="U57" s="98" t="str">
        <v/>
      </c>
      <c r="V57" s="100" t="str">
        <v/>
      </c>
    </row>
    <row r="58" spans="1:22" ht="15" customHeight="1" x14ac:dyDescent="0.2">
      <c r="A58" s="37"/>
      <c r="B58" s="64"/>
      <c r="C58" s="65"/>
      <c r="D58" s="82" t="str">
        <f t="shared" si="2"/>
        <v xml:space="preserve"> 000</v>
      </c>
      <c r="E58" s="117"/>
      <c r="F58" s="117"/>
      <c r="G58" s="118"/>
      <c r="H58" s="66"/>
      <c r="I58" s="66"/>
      <c r="J58" s="58"/>
      <c r="K58" s="37"/>
      <c r="L58" s="95"/>
      <c r="M58" s="98" t="str">
        <v/>
      </c>
      <c r="N58" s="99" t="str">
        <v/>
      </c>
      <c r="O58" s="98" t="str">
        <v/>
      </c>
      <c r="P58" s="99" t="str">
        <v/>
      </c>
      <c r="Q58" s="98" t="str">
        <v/>
      </c>
      <c r="R58" s="99" t="str">
        <v/>
      </c>
      <c r="S58" s="98" t="str">
        <v/>
      </c>
      <c r="T58" s="99" t="str">
        <v/>
      </c>
      <c r="U58" s="98" t="str">
        <v/>
      </c>
      <c r="V58" s="100" t="str">
        <v/>
      </c>
    </row>
    <row r="59" spans="1:22" ht="15" customHeight="1" x14ac:dyDescent="0.2">
      <c r="A59" s="37"/>
      <c r="B59" s="59"/>
      <c r="C59" s="60"/>
      <c r="D59" s="83" t="str">
        <f t="shared" si="2"/>
        <v xml:space="preserve"> 000</v>
      </c>
      <c r="E59" s="119"/>
      <c r="F59" s="119"/>
      <c r="G59" s="120"/>
      <c r="H59" s="62"/>
      <c r="I59" s="62"/>
      <c r="J59" s="63"/>
      <c r="K59" s="37"/>
      <c r="L59" s="95"/>
      <c r="M59" s="98" t="str">
        <v/>
      </c>
      <c r="N59" s="99" t="str">
        <v/>
      </c>
      <c r="O59" s="98" t="str">
        <v/>
      </c>
      <c r="P59" s="99" t="str">
        <v/>
      </c>
      <c r="Q59" s="98" t="str">
        <v/>
      </c>
      <c r="R59" s="99" t="str">
        <v/>
      </c>
      <c r="S59" s="98" t="str">
        <v/>
      </c>
      <c r="T59" s="99" t="str">
        <v/>
      </c>
      <c r="U59" s="98" t="str">
        <v/>
      </c>
      <c r="V59" s="100" t="str">
        <v/>
      </c>
    </row>
    <row r="60" spans="1:22" ht="15" customHeight="1" x14ac:dyDescent="0.2">
      <c r="A60" s="37"/>
      <c r="B60" s="64"/>
      <c r="C60" s="65"/>
      <c r="D60" s="82" t="str">
        <f t="shared" si="2"/>
        <v xml:space="preserve"> 000</v>
      </c>
      <c r="E60" s="117"/>
      <c r="F60" s="117"/>
      <c r="G60" s="118"/>
      <c r="H60" s="66"/>
      <c r="I60" s="66"/>
      <c r="J60" s="58"/>
      <c r="K60" s="37"/>
      <c r="L60" s="95"/>
      <c r="M60" s="98" t="str">
        <v/>
      </c>
      <c r="N60" s="99" t="str">
        <v/>
      </c>
      <c r="O60" s="98" t="str">
        <v/>
      </c>
      <c r="P60" s="99" t="str">
        <v/>
      </c>
      <c r="Q60" s="98" t="str">
        <v/>
      </c>
      <c r="R60" s="99" t="str">
        <v/>
      </c>
      <c r="S60" s="98" t="str">
        <v/>
      </c>
      <c r="T60" s="99" t="str">
        <v/>
      </c>
      <c r="U60" s="98" t="str">
        <v/>
      </c>
      <c r="V60" s="100" t="str">
        <v/>
      </c>
    </row>
    <row r="61" spans="1:22" ht="15" customHeight="1" x14ac:dyDescent="0.2">
      <c r="A61" s="37"/>
      <c r="B61" s="59"/>
      <c r="C61" s="60"/>
      <c r="D61" s="83" t="str">
        <f t="shared" si="2"/>
        <v xml:space="preserve"> 000</v>
      </c>
      <c r="E61" s="119"/>
      <c r="F61" s="119"/>
      <c r="G61" s="120"/>
      <c r="H61" s="62"/>
      <c r="I61" s="62"/>
      <c r="J61" s="63"/>
      <c r="K61" s="37"/>
      <c r="L61" s="95"/>
      <c r="M61" s="98" t="str">
        <v/>
      </c>
      <c r="N61" s="99" t="str">
        <v/>
      </c>
      <c r="O61" s="98" t="str">
        <v/>
      </c>
      <c r="P61" s="99" t="str">
        <v/>
      </c>
      <c r="Q61" s="98" t="str">
        <v/>
      </c>
      <c r="R61" s="99" t="str">
        <v/>
      </c>
      <c r="S61" s="98" t="str">
        <v/>
      </c>
      <c r="T61" s="99" t="str">
        <v/>
      </c>
      <c r="U61" s="98" t="str">
        <v/>
      </c>
      <c r="V61" s="100" t="str">
        <v/>
      </c>
    </row>
    <row r="62" spans="1:22" ht="15" customHeight="1" x14ac:dyDescent="0.2">
      <c r="A62" s="37"/>
      <c r="B62" s="68"/>
      <c r="C62" s="69"/>
      <c r="D62" s="84" t="str">
        <f>CONCATENATE(B62," ",TEXT(C62,"000"))</f>
        <v xml:space="preserve"> 000</v>
      </c>
      <c r="E62" s="124"/>
      <c r="F62" s="124"/>
      <c r="G62" s="125"/>
      <c r="H62" s="71"/>
      <c r="I62" s="71"/>
      <c r="J62" s="72"/>
      <c r="K62" s="37"/>
      <c r="L62" s="95"/>
      <c r="M62" s="98" t="str">
        <v/>
      </c>
      <c r="N62" s="99" t="str">
        <v/>
      </c>
      <c r="O62" s="98" t="str">
        <v/>
      </c>
      <c r="P62" s="99" t="str">
        <v/>
      </c>
      <c r="Q62" s="98" t="str">
        <v/>
      </c>
      <c r="R62" s="99" t="str">
        <v/>
      </c>
      <c r="S62" s="98" t="str">
        <v/>
      </c>
      <c r="T62" s="99" t="str">
        <v/>
      </c>
      <c r="U62" s="98" t="str">
        <v/>
      </c>
      <c r="V62" s="100" t="str">
        <v/>
      </c>
    </row>
    <row r="63" spans="1:22" ht="15" customHeight="1" thickBot="1" x14ac:dyDescent="0.25">
      <c r="A63" s="37"/>
      <c r="B63" s="73"/>
      <c r="C63" s="74"/>
      <c r="D63" s="74"/>
      <c r="E63" s="74"/>
      <c r="F63" s="74" t="s">
        <v>198</v>
      </c>
      <c r="G63" s="74"/>
      <c r="H63" s="74">
        <f>SUM(H54:H62)</f>
        <v>0</v>
      </c>
      <c r="I63" s="74"/>
      <c r="J63" s="75"/>
      <c r="K63" s="37"/>
      <c r="L63" s="95"/>
      <c r="M63" s="98" t="str">
        <v/>
      </c>
      <c r="N63" s="99" t="str">
        <v/>
      </c>
      <c r="O63" s="98" t="str">
        <v/>
      </c>
      <c r="P63" s="99" t="str">
        <v/>
      </c>
      <c r="Q63" s="98" t="str">
        <v/>
      </c>
      <c r="R63" s="99" t="str">
        <v/>
      </c>
      <c r="S63" s="98" t="str">
        <v/>
      </c>
      <c r="T63" s="99" t="str">
        <v/>
      </c>
      <c r="U63" s="98" t="str">
        <v/>
      </c>
      <c r="V63" s="100" t="str">
        <v/>
      </c>
    </row>
    <row r="64" spans="1:22" ht="15" customHeight="1" x14ac:dyDescent="0.2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95"/>
      <c r="M64" s="98" t="str">
        <v/>
      </c>
      <c r="N64" s="99" t="str">
        <v/>
      </c>
      <c r="O64" s="98" t="str">
        <v/>
      </c>
      <c r="P64" s="99" t="str">
        <v/>
      </c>
      <c r="Q64" s="98" t="str">
        <v/>
      </c>
      <c r="R64" s="99" t="str">
        <v/>
      </c>
      <c r="S64" s="98" t="str">
        <v/>
      </c>
      <c r="T64" s="99" t="str">
        <v/>
      </c>
      <c r="U64" s="98" t="str">
        <v/>
      </c>
      <c r="V64" s="100" t="str">
        <v/>
      </c>
    </row>
    <row r="65" spans="1:22" ht="15" customHeight="1" thickBot="1" x14ac:dyDescent="0.25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95"/>
      <c r="M65" s="98" t="str">
        <v/>
      </c>
      <c r="N65" s="99" t="str">
        <v/>
      </c>
      <c r="O65" s="98" t="str">
        <v/>
      </c>
      <c r="P65" s="99" t="str">
        <v/>
      </c>
      <c r="Q65" s="98" t="str">
        <v/>
      </c>
      <c r="R65" s="99" t="str">
        <v/>
      </c>
      <c r="S65" s="98" t="str">
        <v/>
      </c>
      <c r="T65" s="99" t="str">
        <v/>
      </c>
      <c r="U65" s="98" t="str">
        <v/>
      </c>
      <c r="V65" s="100" t="str">
        <v/>
      </c>
    </row>
    <row r="66" spans="1:22" ht="15" customHeight="1" x14ac:dyDescent="0.2">
      <c r="A66" s="37"/>
      <c r="B66" s="76" t="s">
        <v>5</v>
      </c>
      <c r="C66" s="77"/>
      <c r="D66" s="77"/>
      <c r="E66" s="77"/>
      <c r="F66" s="79"/>
      <c r="G66" s="79"/>
      <c r="H66" s="79"/>
      <c r="I66" s="79"/>
      <c r="J66" s="80"/>
      <c r="K66" s="37"/>
      <c r="L66" s="95"/>
      <c r="M66" s="98" t="str">
        <v/>
      </c>
      <c r="N66" s="99" t="str">
        <v/>
      </c>
      <c r="O66" s="98" t="str">
        <v/>
      </c>
      <c r="P66" s="99" t="str">
        <v/>
      </c>
      <c r="Q66" s="98" t="str">
        <v/>
      </c>
      <c r="R66" s="99" t="str">
        <v/>
      </c>
      <c r="S66" s="98" t="str">
        <v/>
      </c>
      <c r="T66" s="99" t="str">
        <v/>
      </c>
      <c r="U66" s="98" t="str">
        <v/>
      </c>
      <c r="V66" s="100" t="str">
        <v/>
      </c>
    </row>
    <row r="67" spans="1:22" ht="15" customHeight="1" thickBot="1" x14ac:dyDescent="0.25">
      <c r="A67" s="37"/>
      <c r="B67" s="49" t="s">
        <v>177</v>
      </c>
      <c r="C67" s="50" t="s">
        <v>6</v>
      </c>
      <c r="D67" s="50"/>
      <c r="E67" s="123" t="s">
        <v>154</v>
      </c>
      <c r="F67" s="123"/>
      <c r="G67" s="123"/>
      <c r="H67" s="50" t="s">
        <v>199</v>
      </c>
      <c r="I67" s="50" t="s">
        <v>155</v>
      </c>
      <c r="J67" s="81" t="s">
        <v>155</v>
      </c>
      <c r="K67" s="37"/>
      <c r="L67" s="95"/>
      <c r="M67" s="98" t="str">
        <v/>
      </c>
      <c r="N67" s="99" t="str">
        <v/>
      </c>
      <c r="O67" s="98" t="str">
        <v/>
      </c>
      <c r="P67" s="99" t="str">
        <v/>
      </c>
      <c r="Q67" s="98" t="str">
        <v/>
      </c>
      <c r="R67" s="99" t="str">
        <v/>
      </c>
      <c r="S67" s="98" t="str">
        <v/>
      </c>
      <c r="T67" s="99" t="str">
        <v/>
      </c>
      <c r="U67" s="98" t="str">
        <v/>
      </c>
      <c r="V67" s="100" t="str">
        <v/>
      </c>
    </row>
    <row r="68" spans="1:22" ht="15" customHeight="1" thickTop="1" x14ac:dyDescent="0.2">
      <c r="A68" s="37"/>
      <c r="B68" s="54"/>
      <c r="C68" s="55"/>
      <c r="D68" s="82" t="str">
        <f>CONCATENATE(B68," ",TEXT(C68,"000"))</f>
        <v xml:space="preserve"> 000</v>
      </c>
      <c r="E68" s="121"/>
      <c r="F68" s="121"/>
      <c r="G68" s="122"/>
      <c r="H68" s="57"/>
      <c r="I68" s="57"/>
      <c r="J68" s="58"/>
      <c r="K68" s="37"/>
      <c r="L68" s="95"/>
      <c r="M68" s="98" t="str">
        <v/>
      </c>
      <c r="N68" s="99" t="str">
        <v/>
      </c>
      <c r="O68" s="98" t="str">
        <v/>
      </c>
      <c r="P68" s="99" t="str">
        <v/>
      </c>
      <c r="Q68" s="98" t="str">
        <v/>
      </c>
      <c r="R68" s="99" t="str">
        <v/>
      </c>
      <c r="S68" s="98" t="str">
        <v/>
      </c>
      <c r="T68" s="99" t="str">
        <v/>
      </c>
      <c r="U68" s="98" t="str">
        <v/>
      </c>
      <c r="V68" s="100" t="str">
        <v/>
      </c>
    </row>
    <row r="69" spans="1:22" ht="15" customHeight="1" x14ac:dyDescent="0.2">
      <c r="A69" s="37"/>
      <c r="B69" s="59"/>
      <c r="C69" s="60"/>
      <c r="D69" s="83" t="str">
        <f>CONCATENATE(B69," ",TEXT(C69,"000"))</f>
        <v xml:space="preserve"> 000</v>
      </c>
      <c r="E69" s="119"/>
      <c r="F69" s="119"/>
      <c r="G69" s="120"/>
      <c r="H69" s="62"/>
      <c r="I69" s="62"/>
      <c r="J69" s="63"/>
      <c r="K69" s="37"/>
      <c r="L69" s="95"/>
      <c r="M69" s="98" t="str">
        <v/>
      </c>
      <c r="N69" s="99" t="str">
        <v/>
      </c>
      <c r="O69" s="98" t="str">
        <v/>
      </c>
      <c r="P69" s="99" t="str">
        <v/>
      </c>
      <c r="Q69" s="98" t="str">
        <v/>
      </c>
      <c r="R69" s="99" t="str">
        <v/>
      </c>
      <c r="S69" s="98" t="str">
        <v/>
      </c>
      <c r="T69" s="99" t="str">
        <v/>
      </c>
      <c r="U69" s="98" t="str">
        <v/>
      </c>
      <c r="V69" s="100" t="str">
        <v/>
      </c>
    </row>
    <row r="70" spans="1:22" ht="15" customHeight="1" x14ac:dyDescent="0.2">
      <c r="A70" s="37"/>
      <c r="B70" s="64"/>
      <c r="C70" s="65"/>
      <c r="D70" s="82" t="str">
        <f t="shared" ref="D70:D76" si="3">CONCATENATE(B70," ",TEXT(C70,"000"))</f>
        <v xml:space="preserve"> 000</v>
      </c>
      <c r="E70" s="117"/>
      <c r="F70" s="117"/>
      <c r="G70" s="118"/>
      <c r="H70" s="66"/>
      <c r="I70" s="66"/>
      <c r="J70" s="58"/>
      <c r="K70" s="37"/>
      <c r="L70" s="95"/>
      <c r="M70" s="98" t="str">
        <v/>
      </c>
      <c r="N70" s="99" t="str">
        <v/>
      </c>
      <c r="O70" s="98" t="str">
        <v/>
      </c>
      <c r="P70" s="99" t="str">
        <v/>
      </c>
      <c r="Q70" s="98" t="str">
        <v/>
      </c>
      <c r="R70" s="99" t="str">
        <v/>
      </c>
      <c r="S70" s="98" t="str">
        <v/>
      </c>
      <c r="T70" s="99" t="str">
        <v/>
      </c>
      <c r="U70" s="98" t="str">
        <v/>
      </c>
      <c r="V70" s="100" t="str">
        <v/>
      </c>
    </row>
    <row r="71" spans="1:22" ht="15" customHeight="1" x14ac:dyDescent="0.2">
      <c r="A71" s="37"/>
      <c r="B71" s="59"/>
      <c r="C71" s="60"/>
      <c r="D71" s="83" t="str">
        <f t="shared" si="3"/>
        <v xml:space="preserve"> 000</v>
      </c>
      <c r="E71" s="119"/>
      <c r="F71" s="119"/>
      <c r="G71" s="120"/>
      <c r="H71" s="62"/>
      <c r="I71" s="62"/>
      <c r="J71" s="63"/>
      <c r="K71" s="37"/>
      <c r="L71" s="95"/>
      <c r="M71" s="98" t="str">
        <v/>
      </c>
      <c r="N71" s="99" t="str">
        <v/>
      </c>
      <c r="O71" s="98" t="str">
        <v/>
      </c>
      <c r="P71" s="99" t="str">
        <v/>
      </c>
      <c r="Q71" s="98" t="str">
        <v/>
      </c>
      <c r="R71" s="99" t="str">
        <v/>
      </c>
      <c r="S71" s="98" t="str">
        <v/>
      </c>
      <c r="T71" s="99" t="str">
        <v/>
      </c>
      <c r="U71" s="98" t="str">
        <v/>
      </c>
      <c r="V71" s="100" t="str">
        <v/>
      </c>
    </row>
    <row r="72" spans="1:22" ht="15" customHeight="1" x14ac:dyDescent="0.2">
      <c r="A72" s="37"/>
      <c r="B72" s="64"/>
      <c r="C72" s="65"/>
      <c r="D72" s="82" t="str">
        <f t="shared" si="3"/>
        <v xml:space="preserve"> 000</v>
      </c>
      <c r="E72" s="117"/>
      <c r="F72" s="117"/>
      <c r="G72" s="118"/>
      <c r="H72" s="66"/>
      <c r="I72" s="66"/>
      <c r="J72" s="58"/>
      <c r="K72" s="37"/>
      <c r="L72" s="95"/>
      <c r="M72" s="98" t="str">
        <v/>
      </c>
      <c r="N72" s="99" t="str">
        <v/>
      </c>
      <c r="O72" s="98" t="str">
        <v/>
      </c>
      <c r="P72" s="99" t="str">
        <v/>
      </c>
      <c r="Q72" s="98" t="str">
        <v/>
      </c>
      <c r="R72" s="99" t="str">
        <v/>
      </c>
      <c r="S72" s="98" t="str">
        <v/>
      </c>
      <c r="T72" s="99" t="str">
        <v/>
      </c>
      <c r="U72" s="98" t="str">
        <v/>
      </c>
      <c r="V72" s="100" t="str">
        <v/>
      </c>
    </row>
    <row r="73" spans="1:22" ht="15" customHeight="1" x14ac:dyDescent="0.2">
      <c r="A73" s="37"/>
      <c r="B73" s="59"/>
      <c r="C73" s="60"/>
      <c r="D73" s="83" t="str">
        <f t="shared" si="3"/>
        <v xml:space="preserve"> 000</v>
      </c>
      <c r="E73" s="119"/>
      <c r="F73" s="119"/>
      <c r="G73" s="120"/>
      <c r="H73" s="62"/>
      <c r="I73" s="62"/>
      <c r="J73" s="63"/>
      <c r="K73" s="37"/>
      <c r="L73" s="95"/>
      <c r="M73" s="98" t="str">
        <v/>
      </c>
      <c r="N73" s="99" t="str">
        <v/>
      </c>
      <c r="O73" s="98" t="str">
        <v/>
      </c>
      <c r="P73" s="99" t="str">
        <v/>
      </c>
      <c r="Q73" s="98" t="str">
        <v/>
      </c>
      <c r="R73" s="99" t="str">
        <v/>
      </c>
      <c r="S73" s="98" t="str">
        <v/>
      </c>
      <c r="T73" s="99" t="str">
        <v/>
      </c>
      <c r="U73" s="98" t="str">
        <v/>
      </c>
      <c r="V73" s="100" t="str">
        <v/>
      </c>
    </row>
    <row r="74" spans="1:22" ht="15" customHeight="1" x14ac:dyDescent="0.2">
      <c r="A74" s="37"/>
      <c r="B74" s="64"/>
      <c r="C74" s="65"/>
      <c r="D74" s="82" t="str">
        <f t="shared" si="3"/>
        <v xml:space="preserve"> 000</v>
      </c>
      <c r="E74" s="117"/>
      <c r="F74" s="117"/>
      <c r="G74" s="118"/>
      <c r="H74" s="66"/>
      <c r="I74" s="66"/>
      <c r="J74" s="58"/>
      <c r="K74" s="37"/>
      <c r="L74" s="29"/>
      <c r="M74" s="24"/>
      <c r="N74" s="144" t="s">
        <v>1358</v>
      </c>
      <c r="O74" s="144"/>
      <c r="P74" s="139">
        <f>Q74</f>
        <v>0</v>
      </c>
      <c r="Q74" s="137">
        <f>SUM(N54:N73,P54:P73,R54:R73,T54:T73,V54:V73)</f>
        <v>0</v>
      </c>
      <c r="R74" s="141" t="s">
        <v>1346</v>
      </c>
      <c r="S74" s="24"/>
      <c r="T74" s="24"/>
      <c r="U74" s="24"/>
      <c r="V74" s="30"/>
    </row>
    <row r="75" spans="1:22" ht="15" customHeight="1" x14ac:dyDescent="0.2">
      <c r="A75" s="37"/>
      <c r="B75" s="59"/>
      <c r="C75" s="60"/>
      <c r="D75" s="83" t="str">
        <f t="shared" si="3"/>
        <v xml:space="preserve"> 000</v>
      </c>
      <c r="E75" s="119"/>
      <c r="F75" s="119"/>
      <c r="G75" s="120"/>
      <c r="H75" s="62"/>
      <c r="I75" s="62"/>
      <c r="J75" s="63"/>
      <c r="K75" s="37"/>
      <c r="L75" s="31"/>
      <c r="M75" s="22"/>
      <c r="N75" s="145"/>
      <c r="O75" s="145"/>
      <c r="P75" s="140"/>
      <c r="Q75" s="138"/>
      <c r="R75" s="142"/>
      <c r="S75" s="22"/>
      <c r="T75" s="22"/>
      <c r="U75" s="22"/>
      <c r="V75" s="32"/>
    </row>
    <row r="76" spans="1:22" ht="15" customHeight="1" x14ac:dyDescent="0.2">
      <c r="A76" s="37"/>
      <c r="B76" s="68"/>
      <c r="C76" s="69"/>
      <c r="D76" s="84" t="str">
        <f t="shared" si="3"/>
        <v xml:space="preserve"> 000</v>
      </c>
      <c r="E76" s="124"/>
      <c r="F76" s="124"/>
      <c r="G76" s="125"/>
      <c r="H76" s="71"/>
      <c r="I76" s="71"/>
      <c r="J76" s="72"/>
      <c r="K76" s="37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</row>
    <row r="77" spans="1:22" ht="15" customHeight="1" thickBot="1" x14ac:dyDescent="0.25">
      <c r="A77" s="37"/>
      <c r="B77" s="73"/>
      <c r="C77" s="74"/>
      <c r="D77" s="74"/>
      <c r="E77" s="74"/>
      <c r="F77" s="74" t="s">
        <v>198</v>
      </c>
      <c r="G77" s="74"/>
      <c r="H77" s="74">
        <f>SUM(H68:H76)</f>
        <v>0</v>
      </c>
      <c r="I77" s="74"/>
      <c r="J77" s="75"/>
      <c r="K77" s="37"/>
      <c r="L77" s="110" t="s">
        <v>1361</v>
      </c>
      <c r="M77" s="111"/>
      <c r="N77" s="111"/>
      <c r="O77" s="111"/>
      <c r="P77" s="111"/>
      <c r="Q77" s="111"/>
      <c r="R77" s="111"/>
      <c r="S77" s="111"/>
      <c r="T77" s="111"/>
      <c r="U77" s="111"/>
      <c r="V77" s="112"/>
    </row>
    <row r="78" spans="1:22" ht="15" customHeight="1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113"/>
      <c r="M78" s="114"/>
      <c r="N78" s="114"/>
      <c r="O78" s="114"/>
      <c r="P78" s="114"/>
      <c r="Q78" s="114"/>
      <c r="R78" s="114"/>
      <c r="S78" s="114"/>
      <c r="T78" s="114"/>
      <c r="U78" s="114"/>
      <c r="V78" s="115"/>
    </row>
    <row r="79" spans="1:22" ht="15" customHeight="1" thickBot="1" x14ac:dyDescent="0.25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95"/>
      <c r="M79" s="98" t="str">
        <f t="array" ref="M79">IFERROR(INDEX(AOC_AS_NON_100L!$G$2:$G$21,SMALL(IF(AOC_AS_NON_100L!$G$2:$G$21&lt;&gt;"",ROW(AOC_AS_NON_100L!$G$2:$G$21)-ROW(AOC_AS_NON_100L!$G$2)+1),ROW()-78),1),"")</f>
        <v/>
      </c>
      <c r="N79" s="99" t="str">
        <f t="array" ref="N79:N98">IFERROR(INDEX(AOC_AS_NON_100L!$H$2:$H$21,SMALL(IF(AOC_AS_NON_100L!$H$2:$H$21&lt;&gt;"",ROW(AOC_AS_NON_100L!$H$2:$H$21)-ROW(AOC_AS_NON_100L!$H$2)+1),ROW()-78),1),"")</f>
        <v/>
      </c>
      <c r="O79" s="98" t="str">
        <f t="array" ref="O79">IFERROR(INDEX(AOC_AS_NON_100L!$G$22:$G$41,SMALL(IF(AOC_AS_NON_100L!$G$22:$G$41&lt;&gt;"",ROW(AOC_AS_NON_100L!$G$22:$G$41)-ROW(AOC_AS_NON_100L!$G$22)+1),ROW()-78),1),"")</f>
        <v/>
      </c>
      <c r="P79" s="99" t="str">
        <f t="array" ref="P79:P98">IFERROR(INDEX(AOC_AS_NON_100L!$H$22:$H$41,SMALL(IF(AOC_AS_NON_100L!$H$22:$H$41&lt;&gt;"",ROW(AOC_AS_NON_100L!$H$22:$H$41)-ROW(AOC_AS_NON_100L!$H$22)+1),ROW()-78),1),"")</f>
        <v/>
      </c>
      <c r="Q79" s="98" t="str">
        <f t="array" ref="Q79">IFERROR(INDEX(AOC_AS_NON_100L!$G$42:$G$61,SMALL(IF(AOC_AS_NON_100L!$G$42:$G$61&lt;&gt;"",ROW(AOC_AS_NON_100L!$G$42:$G$61)-ROW(AOC_AS_NON_100L!$G$42)+1),ROW()-78),1),"")</f>
        <v/>
      </c>
      <c r="R79" s="99" t="str">
        <f t="array" ref="R79:R98">IFERROR(INDEX(AOC_AS_NON_100L!$H$42:$H$61,SMALL(IF(AOC_AS_NON_100L!$H$42:$H$61&lt;&gt;"",ROW(AOC_AS_NON_100L!$H$42:$H$61)-ROW(AOC_AS_NON_100L!$H$42)+1),ROW()-78),1),"")</f>
        <v/>
      </c>
      <c r="S79" s="98" t="str">
        <f t="array" ref="S79">IFERROR(INDEX(AOC_AS_NON_100L!$G$62:$G$81,SMALL(IF(AOC_AS_NON_100L!$G$62:$G$81&lt;&gt;"",ROW(AOC_AS_NON_100L!$G$62:$G$81)-ROW(AOC_AS_NON_100L!$G$62)+1),ROW()-78),1),"")</f>
        <v/>
      </c>
      <c r="T79" s="99" t="str">
        <f t="array" ref="T79:T98">IFERROR(INDEX(AOC_AS_NON_100L!$H$62:$H$81,SMALL(IF(AOC_AS_NON_100L!$H$62:$H$81&lt;&gt;"",ROW(AOC_AS_NON_100L!$H$62:$H$81)-ROW(AOC_AS_NON_100L!$H$62)+1),ROW()-78),1),"")</f>
        <v/>
      </c>
      <c r="U79" s="98" t="str">
        <f t="array" ref="U79">IFERROR(INDEX(AOC_AS_NON_100L!$G$82:$G$101,SMALL(IF(AOC_AS_NON_100L!$G$82:$G$101&lt;&gt;"",ROW(AOC_AS_NON_100L!$G$82:$G$101)-ROW(AOC_AS_NON_100L!$G$82)+1),ROW()-78),1),"")</f>
        <v/>
      </c>
      <c r="V79" s="100" t="str">
        <f t="array" ref="V79:V98">IFERROR(INDEX(AOC_AS_NON_100L!$H$82:$H$101,SMALL(IF(AOC_AS_NON_100L!$H$82:$H$101&lt;&gt;"",ROW(AOC_AS_NON_100L!$H$82:$H$101)-ROW(AOC_AS_NON_100L!$H$82)+1),ROW()-78),1),"")</f>
        <v/>
      </c>
    </row>
    <row r="80" spans="1:22" ht="15" customHeight="1" x14ac:dyDescent="0.2">
      <c r="A80" s="37"/>
      <c r="B80" s="76" t="s">
        <v>5</v>
      </c>
      <c r="C80" s="77"/>
      <c r="D80" s="77"/>
      <c r="E80" s="77"/>
      <c r="F80" s="79"/>
      <c r="G80" s="79"/>
      <c r="H80" s="79"/>
      <c r="I80" s="79"/>
      <c r="J80" s="80"/>
      <c r="K80" s="37"/>
      <c r="L80" s="95"/>
      <c r="M80" s="98" t="str">
        <f t="array" ref="M80">IFERROR(INDEX(AOC_AS_NON_100L!$G$2:$G$21,SMALL(IF(AOC_AS_NON_100L!$G$2:$G$21&lt;&gt;"",ROW(AOC_AS_NON_100L!$G$2:$G$21)-ROW(AOC_AS_NON_100L!$G$2)+1),ROW()-78),1),"")</f>
        <v/>
      </c>
      <c r="N80" s="99" t="str">
        <v/>
      </c>
      <c r="O80" s="98" t="str">
        <f t="array" ref="O80">IFERROR(INDEX(AOC_AS_NON_100L!$G$22:$G$41,SMALL(IF(AOC_AS_NON_100L!$G$22:$G$41&lt;&gt;"",ROW(AOC_AS_NON_100L!$G$22:$G$41)-ROW(AOC_AS_NON_100L!$G$22)+1),ROW()-78),1),"")</f>
        <v/>
      </c>
      <c r="P80" s="99" t="str">
        <v/>
      </c>
      <c r="Q80" s="98" t="str">
        <f t="array" ref="Q80">IFERROR(INDEX(AOC_AS_NON_100L!$G$42:$G$61,SMALL(IF(AOC_AS_NON_100L!$G$42:$G$61&lt;&gt;"",ROW(AOC_AS_NON_100L!$G$42:$G$61)-ROW(AOC_AS_NON_100L!$G$42)+1),ROW()-78),1),"")</f>
        <v/>
      </c>
      <c r="R80" s="99" t="str">
        <v/>
      </c>
      <c r="S80" s="98" t="str">
        <f t="array" ref="S80">IFERROR(INDEX(AOC_AS_NON_100L!$G$62:$G$81,SMALL(IF(AOC_AS_NON_100L!$G$62:$G$81&lt;&gt;"",ROW(AOC_AS_NON_100L!$G$62:$G$81)-ROW(AOC_AS_NON_100L!$G$62)+1),ROW()-78),1),"")</f>
        <v/>
      </c>
      <c r="T80" s="99" t="str">
        <v/>
      </c>
      <c r="U80" s="98" t="str">
        <f t="array" ref="U80">IFERROR(INDEX(AOC_AS_NON_100L!$G$82:$G$101,SMALL(IF(AOC_AS_NON_100L!$G$82:$G$101&lt;&gt;"",ROW(AOC_AS_NON_100L!$G$82:$G$101)-ROW(AOC_AS_NON_100L!$G$82)+1),ROW()-78),1),"")</f>
        <v/>
      </c>
      <c r="V80" s="100" t="str">
        <v/>
      </c>
    </row>
    <row r="81" spans="1:22" ht="15" customHeight="1" thickBot="1" x14ac:dyDescent="0.25">
      <c r="A81" s="37"/>
      <c r="B81" s="49" t="s">
        <v>177</v>
      </c>
      <c r="C81" s="50" t="s">
        <v>6</v>
      </c>
      <c r="D81" s="50"/>
      <c r="E81" s="123" t="s">
        <v>154</v>
      </c>
      <c r="F81" s="123"/>
      <c r="G81" s="123"/>
      <c r="H81" s="50" t="s">
        <v>199</v>
      </c>
      <c r="I81" s="50" t="s">
        <v>155</v>
      </c>
      <c r="J81" s="81" t="s">
        <v>155</v>
      </c>
      <c r="K81" s="37"/>
      <c r="L81" s="95"/>
      <c r="M81" s="98" t="str">
        <f t="array" ref="M81">IFERROR(INDEX(AOC_AS_NON_100L!$G$2:$G$21,SMALL(IF(AOC_AS_NON_100L!$G$2:$G$21&lt;&gt;"",ROW(AOC_AS_NON_100L!$G$2:$G$21)-ROW(AOC_AS_NON_100L!$G$2)+1),ROW()-78),1),"")</f>
        <v/>
      </c>
      <c r="N81" s="99" t="str">
        <v/>
      </c>
      <c r="O81" s="98" t="str">
        <f t="array" ref="O81">IFERROR(INDEX(AOC_AS_NON_100L!$G$22:$G$41,SMALL(IF(AOC_AS_NON_100L!$G$22:$G$41&lt;&gt;"",ROW(AOC_AS_NON_100L!$G$22:$G$41)-ROW(AOC_AS_NON_100L!$G$22)+1),ROW()-78),1),"")</f>
        <v/>
      </c>
      <c r="P81" s="99" t="str">
        <v/>
      </c>
      <c r="Q81" s="98" t="str">
        <f t="array" ref="Q81">IFERROR(INDEX(AOC_AS_NON_100L!$G$42:$G$61,SMALL(IF(AOC_AS_NON_100L!$G$42:$G$61&lt;&gt;"",ROW(AOC_AS_NON_100L!$G$42:$G$61)-ROW(AOC_AS_NON_100L!$G$42)+1),ROW()-78),1),"")</f>
        <v/>
      </c>
      <c r="R81" s="99" t="str">
        <v/>
      </c>
      <c r="S81" s="98" t="str">
        <f t="array" ref="S81">IFERROR(INDEX(AOC_AS_NON_100L!$G$62:$G$81,SMALL(IF(AOC_AS_NON_100L!$G$62:$G$81&lt;&gt;"",ROW(AOC_AS_NON_100L!$G$62:$G$81)-ROW(AOC_AS_NON_100L!$G$62)+1),ROW()-78),1),"")</f>
        <v/>
      </c>
      <c r="T81" s="99" t="str">
        <v/>
      </c>
      <c r="U81" s="98" t="str">
        <f t="array" ref="U81">IFERROR(INDEX(AOC_AS_NON_100L!$G$82:$G$101,SMALL(IF(AOC_AS_NON_100L!$G$82:$G$101&lt;&gt;"",ROW(AOC_AS_NON_100L!$G$82:$G$101)-ROW(AOC_AS_NON_100L!$G$82)+1),ROW()-78),1),"")</f>
        <v/>
      </c>
      <c r="V81" s="100" t="str">
        <v/>
      </c>
    </row>
    <row r="82" spans="1:22" ht="15" customHeight="1" thickTop="1" x14ac:dyDescent="0.2">
      <c r="A82" s="37"/>
      <c r="B82" s="54"/>
      <c r="C82" s="55"/>
      <c r="D82" s="82" t="str">
        <f>CONCATENATE(B82," ",TEXT(C82,"000"))</f>
        <v xml:space="preserve"> 000</v>
      </c>
      <c r="E82" s="121"/>
      <c r="F82" s="121"/>
      <c r="G82" s="122"/>
      <c r="H82" s="57"/>
      <c r="I82" s="57"/>
      <c r="J82" s="58"/>
      <c r="K82" s="37"/>
      <c r="L82" s="95"/>
      <c r="M82" s="98" t="str">
        <f t="array" ref="M82">IFERROR(INDEX(AOC_AS_NON_100L!$G$2:$G$21,SMALL(IF(AOC_AS_NON_100L!$G$2:$G$21&lt;&gt;"",ROW(AOC_AS_NON_100L!$G$2:$G$21)-ROW(AOC_AS_NON_100L!$G$2)+1),ROW()-78),1),"")</f>
        <v/>
      </c>
      <c r="N82" s="99" t="str">
        <v/>
      </c>
      <c r="O82" s="98" t="str">
        <f t="array" ref="O82">IFERROR(INDEX(AOC_AS_NON_100L!$G$22:$G$41,SMALL(IF(AOC_AS_NON_100L!$G$22:$G$41&lt;&gt;"",ROW(AOC_AS_NON_100L!$G$22:$G$41)-ROW(AOC_AS_NON_100L!$G$22)+1),ROW()-78),1),"")</f>
        <v/>
      </c>
      <c r="P82" s="99" t="str">
        <v/>
      </c>
      <c r="Q82" s="98" t="str">
        <f t="array" ref="Q82">IFERROR(INDEX(AOC_AS_NON_100L!$G$42:$G$61,SMALL(IF(AOC_AS_NON_100L!$G$42:$G$61&lt;&gt;"",ROW(AOC_AS_NON_100L!$G$42:$G$61)-ROW(AOC_AS_NON_100L!$G$42)+1),ROW()-78),1),"")</f>
        <v/>
      </c>
      <c r="R82" s="99" t="str">
        <v/>
      </c>
      <c r="S82" s="98" t="str">
        <f t="array" ref="S82">IFERROR(INDEX(AOC_AS_NON_100L!$G$62:$G$81,SMALL(IF(AOC_AS_NON_100L!$G$62:$G$81&lt;&gt;"",ROW(AOC_AS_NON_100L!$G$62:$G$81)-ROW(AOC_AS_NON_100L!$G$62)+1),ROW()-78),1),"")</f>
        <v/>
      </c>
      <c r="T82" s="99" t="str">
        <v/>
      </c>
      <c r="U82" s="98" t="str">
        <f t="array" ref="U82">IFERROR(INDEX(AOC_AS_NON_100L!$G$82:$G$101,SMALL(IF(AOC_AS_NON_100L!$G$82:$G$101&lt;&gt;"",ROW(AOC_AS_NON_100L!$G$82:$G$101)-ROW(AOC_AS_NON_100L!$G$82)+1),ROW()-78),1),"")</f>
        <v/>
      </c>
      <c r="V82" s="100" t="str">
        <v/>
      </c>
    </row>
    <row r="83" spans="1:22" ht="15" customHeight="1" x14ac:dyDescent="0.2">
      <c r="A83" s="37"/>
      <c r="B83" s="59"/>
      <c r="C83" s="60"/>
      <c r="D83" s="83" t="str">
        <f t="shared" ref="D83:D90" si="4">CONCATENATE(B83," ",TEXT(C83,"000"))</f>
        <v xml:space="preserve"> 000</v>
      </c>
      <c r="E83" s="119"/>
      <c r="F83" s="119"/>
      <c r="G83" s="120"/>
      <c r="H83" s="62"/>
      <c r="I83" s="62"/>
      <c r="J83" s="63"/>
      <c r="K83" s="37"/>
      <c r="L83" s="95"/>
      <c r="M83" s="98" t="str">
        <f t="array" ref="M83">IFERROR(INDEX(AOC_AS_NON_100L!$G$2:$G$21,SMALL(IF(AOC_AS_NON_100L!$G$2:$G$21&lt;&gt;"",ROW(AOC_AS_NON_100L!$G$2:$G$21)-ROW(AOC_AS_NON_100L!$G$2)+1),ROW()-78),1),"")</f>
        <v/>
      </c>
      <c r="N83" s="99" t="str">
        <v/>
      </c>
      <c r="O83" s="98" t="str">
        <f t="array" ref="O83">IFERROR(INDEX(AOC_AS_NON_100L!$G$22:$G$41,SMALL(IF(AOC_AS_NON_100L!$G$22:$G$41&lt;&gt;"",ROW(AOC_AS_NON_100L!$G$22:$G$41)-ROW(AOC_AS_NON_100L!$G$22)+1),ROW()-78),1),"")</f>
        <v/>
      </c>
      <c r="P83" s="99" t="str">
        <v/>
      </c>
      <c r="Q83" s="98" t="str">
        <f t="array" ref="Q83">IFERROR(INDEX(AOC_AS_NON_100L!$G$42:$G$61,SMALL(IF(AOC_AS_NON_100L!$G$42:$G$61&lt;&gt;"",ROW(AOC_AS_NON_100L!$G$42:$G$61)-ROW(AOC_AS_NON_100L!$G$42)+1),ROW()-78),1),"")</f>
        <v/>
      </c>
      <c r="R83" s="99" t="str">
        <v/>
      </c>
      <c r="S83" s="98" t="str">
        <f t="array" ref="S83">IFERROR(INDEX(AOC_AS_NON_100L!$G$62:$G$81,SMALL(IF(AOC_AS_NON_100L!$G$62:$G$81&lt;&gt;"",ROW(AOC_AS_NON_100L!$G$62:$G$81)-ROW(AOC_AS_NON_100L!$G$62)+1),ROW()-78),1),"")</f>
        <v/>
      </c>
      <c r="T83" s="99" t="str">
        <v/>
      </c>
      <c r="U83" s="98" t="str">
        <f t="array" ref="U83">IFERROR(INDEX(AOC_AS_NON_100L!$G$82:$G$101,SMALL(IF(AOC_AS_NON_100L!$G$82:$G$101&lt;&gt;"",ROW(AOC_AS_NON_100L!$G$82:$G$101)-ROW(AOC_AS_NON_100L!$G$82)+1),ROW()-78),1),"")</f>
        <v/>
      </c>
      <c r="V83" s="100" t="str">
        <v/>
      </c>
    </row>
    <row r="84" spans="1:22" ht="15" customHeight="1" x14ac:dyDescent="0.2">
      <c r="A84" s="37"/>
      <c r="B84" s="64"/>
      <c r="C84" s="65"/>
      <c r="D84" s="82" t="str">
        <f t="shared" si="4"/>
        <v xml:space="preserve"> 000</v>
      </c>
      <c r="E84" s="117"/>
      <c r="F84" s="117"/>
      <c r="G84" s="118"/>
      <c r="H84" s="66"/>
      <c r="I84" s="66"/>
      <c r="J84" s="58"/>
      <c r="K84" s="37"/>
      <c r="L84" s="95"/>
      <c r="M84" s="98" t="str">
        <f t="array" ref="M84">IFERROR(INDEX(AOC_AS_NON_100L!$G$2:$G$21,SMALL(IF(AOC_AS_NON_100L!$G$2:$G$21&lt;&gt;"",ROW(AOC_AS_NON_100L!$G$2:$G$21)-ROW(AOC_AS_NON_100L!$G$2)+1),ROW()-78),1),"")</f>
        <v/>
      </c>
      <c r="N84" s="99" t="str">
        <v/>
      </c>
      <c r="O84" s="98" t="str">
        <f t="array" ref="O84">IFERROR(INDEX(AOC_AS_NON_100L!$G$22:$G$41,SMALL(IF(AOC_AS_NON_100L!$G$22:$G$41&lt;&gt;"",ROW(AOC_AS_NON_100L!$G$22:$G$41)-ROW(AOC_AS_NON_100L!$G$22)+1),ROW()-78),1),"")</f>
        <v/>
      </c>
      <c r="P84" s="99" t="str">
        <v/>
      </c>
      <c r="Q84" s="98" t="str">
        <f t="array" ref="Q84">IFERROR(INDEX(AOC_AS_NON_100L!$G$42:$G$61,SMALL(IF(AOC_AS_NON_100L!$G$42:$G$61&lt;&gt;"",ROW(AOC_AS_NON_100L!$G$42:$G$61)-ROW(AOC_AS_NON_100L!$G$42)+1),ROW()-78),1),"")</f>
        <v/>
      </c>
      <c r="R84" s="99" t="str">
        <v/>
      </c>
      <c r="S84" s="98" t="str">
        <f t="array" ref="S84">IFERROR(INDEX(AOC_AS_NON_100L!$G$62:$G$81,SMALL(IF(AOC_AS_NON_100L!$G$62:$G$81&lt;&gt;"",ROW(AOC_AS_NON_100L!$G$62:$G$81)-ROW(AOC_AS_NON_100L!$G$62)+1),ROW()-78),1),"")</f>
        <v/>
      </c>
      <c r="T84" s="99" t="str">
        <v/>
      </c>
      <c r="U84" s="98" t="str">
        <f t="array" ref="U84">IFERROR(INDEX(AOC_AS_NON_100L!$G$82:$G$101,SMALL(IF(AOC_AS_NON_100L!$G$82:$G$101&lt;&gt;"",ROW(AOC_AS_NON_100L!$G$82:$G$101)-ROW(AOC_AS_NON_100L!$G$82)+1),ROW()-78),1),"")</f>
        <v/>
      </c>
      <c r="V84" s="100" t="str">
        <v/>
      </c>
    </row>
    <row r="85" spans="1:22" ht="15" customHeight="1" x14ac:dyDescent="0.2">
      <c r="A85" s="37"/>
      <c r="B85" s="59"/>
      <c r="C85" s="60"/>
      <c r="D85" s="83" t="str">
        <f t="shared" si="4"/>
        <v xml:space="preserve"> 000</v>
      </c>
      <c r="E85" s="119"/>
      <c r="F85" s="119"/>
      <c r="G85" s="120"/>
      <c r="H85" s="62"/>
      <c r="I85" s="62"/>
      <c r="J85" s="63"/>
      <c r="K85" s="37"/>
      <c r="L85" s="95"/>
      <c r="M85" s="98" t="str">
        <f t="array" ref="M85">IFERROR(INDEX(AOC_AS_NON_100L!$G$2:$G$21,SMALL(IF(AOC_AS_NON_100L!$G$2:$G$21&lt;&gt;"",ROW(AOC_AS_NON_100L!$G$2:$G$21)-ROW(AOC_AS_NON_100L!$G$2)+1),ROW()-78),1),"")</f>
        <v/>
      </c>
      <c r="N85" s="99" t="str">
        <v/>
      </c>
      <c r="O85" s="98" t="str">
        <f t="array" ref="O85">IFERROR(INDEX(AOC_AS_NON_100L!$G$22:$G$41,SMALL(IF(AOC_AS_NON_100L!$G$22:$G$41&lt;&gt;"",ROW(AOC_AS_NON_100L!$G$22:$G$41)-ROW(AOC_AS_NON_100L!$G$22)+1),ROW()-78),1),"")</f>
        <v/>
      </c>
      <c r="P85" s="99" t="str">
        <v/>
      </c>
      <c r="Q85" s="98" t="str">
        <f t="array" ref="Q85">IFERROR(INDEX(AOC_AS_NON_100L!$G$42:$G$61,SMALL(IF(AOC_AS_NON_100L!$G$42:$G$61&lt;&gt;"",ROW(AOC_AS_NON_100L!$G$42:$G$61)-ROW(AOC_AS_NON_100L!$G$42)+1),ROW()-78),1),"")</f>
        <v/>
      </c>
      <c r="R85" s="99" t="str">
        <v/>
      </c>
      <c r="S85" s="98" t="str">
        <f t="array" ref="S85">IFERROR(INDEX(AOC_AS_NON_100L!$G$62:$G$81,SMALL(IF(AOC_AS_NON_100L!$G$62:$G$81&lt;&gt;"",ROW(AOC_AS_NON_100L!$G$62:$G$81)-ROW(AOC_AS_NON_100L!$G$62)+1),ROW()-78),1),"")</f>
        <v/>
      </c>
      <c r="T85" s="99" t="str">
        <v/>
      </c>
      <c r="U85" s="98" t="str">
        <f t="array" ref="U85">IFERROR(INDEX(AOC_AS_NON_100L!$G$82:$G$101,SMALL(IF(AOC_AS_NON_100L!$G$82:$G$101&lt;&gt;"",ROW(AOC_AS_NON_100L!$G$82:$G$101)-ROW(AOC_AS_NON_100L!$G$82)+1),ROW()-78),1),"")</f>
        <v/>
      </c>
      <c r="V85" s="100" t="str">
        <v/>
      </c>
    </row>
    <row r="86" spans="1:22" ht="15" customHeight="1" x14ac:dyDescent="0.2">
      <c r="A86" s="37"/>
      <c r="B86" s="64"/>
      <c r="C86" s="65"/>
      <c r="D86" s="82" t="str">
        <f t="shared" si="4"/>
        <v xml:space="preserve"> 000</v>
      </c>
      <c r="E86" s="117"/>
      <c r="F86" s="117"/>
      <c r="G86" s="118"/>
      <c r="H86" s="66"/>
      <c r="I86" s="66"/>
      <c r="J86" s="58"/>
      <c r="K86" s="37"/>
      <c r="L86" s="95"/>
      <c r="M86" s="98" t="str">
        <f t="array" ref="M86">IFERROR(INDEX(AOC_AS_NON_100L!$G$2:$G$21,SMALL(IF(AOC_AS_NON_100L!$G$2:$G$21&lt;&gt;"",ROW(AOC_AS_NON_100L!$G$2:$G$21)-ROW(AOC_AS_NON_100L!$G$2)+1),ROW()-78),1),"")</f>
        <v/>
      </c>
      <c r="N86" s="99" t="str">
        <v/>
      </c>
      <c r="O86" s="98" t="str">
        <f t="array" ref="O86">IFERROR(INDEX(AOC_AS_NON_100L!$G$22:$G$41,SMALL(IF(AOC_AS_NON_100L!$G$22:$G$41&lt;&gt;"",ROW(AOC_AS_NON_100L!$G$22:$G$41)-ROW(AOC_AS_NON_100L!$G$22)+1),ROW()-78),1),"")</f>
        <v/>
      </c>
      <c r="P86" s="99" t="str">
        <v/>
      </c>
      <c r="Q86" s="98" t="str">
        <f t="array" ref="Q86">IFERROR(INDEX(AOC_AS_NON_100L!$G$42:$G$61,SMALL(IF(AOC_AS_NON_100L!$G$42:$G$61&lt;&gt;"",ROW(AOC_AS_NON_100L!$G$42:$G$61)-ROW(AOC_AS_NON_100L!$G$42)+1),ROW()-78),1),"")</f>
        <v/>
      </c>
      <c r="R86" s="99" t="str">
        <v/>
      </c>
      <c r="S86" s="98" t="str">
        <f t="array" ref="S86">IFERROR(INDEX(AOC_AS_NON_100L!$G$62:$G$81,SMALL(IF(AOC_AS_NON_100L!$G$62:$G$81&lt;&gt;"",ROW(AOC_AS_NON_100L!$G$62:$G$81)-ROW(AOC_AS_NON_100L!$G$62)+1),ROW()-78),1),"")</f>
        <v/>
      </c>
      <c r="T86" s="99" t="str">
        <v/>
      </c>
      <c r="U86" s="98" t="str">
        <f t="array" ref="U86">IFERROR(INDEX(AOC_AS_NON_100L!$G$82:$G$101,SMALL(IF(AOC_AS_NON_100L!$G$82:$G$101&lt;&gt;"",ROW(AOC_AS_NON_100L!$G$82:$G$101)-ROW(AOC_AS_NON_100L!$G$82)+1),ROW()-78),1),"")</f>
        <v/>
      </c>
      <c r="V86" s="100" t="str">
        <v/>
      </c>
    </row>
    <row r="87" spans="1:22" ht="15" customHeight="1" x14ac:dyDescent="0.2">
      <c r="A87" s="37"/>
      <c r="B87" s="59"/>
      <c r="C87" s="60"/>
      <c r="D87" s="83" t="str">
        <f t="shared" si="4"/>
        <v xml:space="preserve"> 000</v>
      </c>
      <c r="E87" s="119"/>
      <c r="F87" s="119"/>
      <c r="G87" s="120"/>
      <c r="H87" s="62"/>
      <c r="I87" s="62"/>
      <c r="J87" s="63"/>
      <c r="K87" s="37"/>
      <c r="L87" s="95"/>
      <c r="M87" s="98" t="str">
        <f t="array" ref="M87">IFERROR(INDEX(AOC_AS_NON_100L!$G$2:$G$21,SMALL(IF(AOC_AS_NON_100L!$G$2:$G$21&lt;&gt;"",ROW(AOC_AS_NON_100L!$G$2:$G$21)-ROW(AOC_AS_NON_100L!$G$2)+1),ROW()-78),1),"")</f>
        <v/>
      </c>
      <c r="N87" s="99" t="str">
        <v/>
      </c>
      <c r="O87" s="98" t="str">
        <f t="array" ref="O87">IFERROR(INDEX(AOC_AS_NON_100L!$G$22:$G$41,SMALL(IF(AOC_AS_NON_100L!$G$22:$G$41&lt;&gt;"",ROW(AOC_AS_NON_100L!$G$22:$G$41)-ROW(AOC_AS_NON_100L!$G$22)+1),ROW()-78),1),"")</f>
        <v/>
      </c>
      <c r="P87" s="99" t="str">
        <v/>
      </c>
      <c r="Q87" s="98" t="str">
        <f t="array" ref="Q87">IFERROR(INDEX(AOC_AS_NON_100L!$G$42:$G$61,SMALL(IF(AOC_AS_NON_100L!$G$42:$G$61&lt;&gt;"",ROW(AOC_AS_NON_100L!$G$42:$G$61)-ROW(AOC_AS_NON_100L!$G$42)+1),ROW()-78),1),"")</f>
        <v/>
      </c>
      <c r="R87" s="99" t="str">
        <v/>
      </c>
      <c r="S87" s="98" t="str">
        <f t="array" ref="S87">IFERROR(INDEX(AOC_AS_NON_100L!$G$62:$G$81,SMALL(IF(AOC_AS_NON_100L!$G$62:$G$81&lt;&gt;"",ROW(AOC_AS_NON_100L!$G$62:$G$81)-ROW(AOC_AS_NON_100L!$G$62)+1),ROW()-78),1),"")</f>
        <v/>
      </c>
      <c r="T87" s="99" t="str">
        <v/>
      </c>
      <c r="U87" s="98" t="str">
        <f t="array" ref="U87">IFERROR(INDEX(AOC_AS_NON_100L!$G$82:$G$101,SMALL(IF(AOC_AS_NON_100L!$G$82:$G$101&lt;&gt;"",ROW(AOC_AS_NON_100L!$G$82:$G$101)-ROW(AOC_AS_NON_100L!$G$82)+1),ROW()-78),1),"")</f>
        <v/>
      </c>
      <c r="V87" s="100" t="str">
        <v/>
      </c>
    </row>
    <row r="88" spans="1:22" ht="15" customHeight="1" x14ac:dyDescent="0.2">
      <c r="A88" s="37"/>
      <c r="B88" s="64"/>
      <c r="C88" s="65"/>
      <c r="D88" s="82" t="str">
        <f t="shared" si="4"/>
        <v xml:space="preserve"> 000</v>
      </c>
      <c r="E88" s="117"/>
      <c r="F88" s="117"/>
      <c r="G88" s="118"/>
      <c r="H88" s="66"/>
      <c r="I88" s="66"/>
      <c r="J88" s="58"/>
      <c r="K88" s="37"/>
      <c r="L88" s="95"/>
      <c r="M88" s="98" t="str">
        <f t="array" ref="M88">IFERROR(INDEX(AOC_AS_NON_100L!$G$2:$G$21,SMALL(IF(AOC_AS_NON_100L!$G$2:$G$21&lt;&gt;"",ROW(AOC_AS_NON_100L!$G$2:$G$21)-ROW(AOC_AS_NON_100L!$G$2)+1),ROW()-78),1),"")</f>
        <v/>
      </c>
      <c r="N88" s="99" t="str">
        <v/>
      </c>
      <c r="O88" s="98" t="str">
        <f t="array" ref="O88">IFERROR(INDEX(AOC_AS_NON_100L!$G$22:$G$41,SMALL(IF(AOC_AS_NON_100L!$G$22:$G$41&lt;&gt;"",ROW(AOC_AS_NON_100L!$G$22:$G$41)-ROW(AOC_AS_NON_100L!$G$22)+1),ROW()-78),1),"")</f>
        <v/>
      </c>
      <c r="P88" s="99" t="str">
        <v/>
      </c>
      <c r="Q88" s="98" t="str">
        <f t="array" ref="Q88">IFERROR(INDEX(AOC_AS_NON_100L!$G$42:$G$61,SMALL(IF(AOC_AS_NON_100L!$G$42:$G$61&lt;&gt;"",ROW(AOC_AS_NON_100L!$G$42:$G$61)-ROW(AOC_AS_NON_100L!$G$42)+1),ROW()-78),1),"")</f>
        <v/>
      </c>
      <c r="R88" s="99" t="str">
        <v/>
      </c>
      <c r="S88" s="98" t="str">
        <f t="array" ref="S88">IFERROR(INDEX(AOC_AS_NON_100L!$G$62:$G$81,SMALL(IF(AOC_AS_NON_100L!$G$62:$G$81&lt;&gt;"",ROW(AOC_AS_NON_100L!$G$62:$G$81)-ROW(AOC_AS_NON_100L!$G$62)+1),ROW()-78),1),"")</f>
        <v/>
      </c>
      <c r="T88" s="99" t="str">
        <v/>
      </c>
      <c r="U88" s="98" t="str">
        <f t="array" ref="U88">IFERROR(INDEX(AOC_AS_NON_100L!$G$82:$G$101,SMALL(IF(AOC_AS_NON_100L!$G$82:$G$101&lt;&gt;"",ROW(AOC_AS_NON_100L!$G$82:$G$101)-ROW(AOC_AS_NON_100L!$G$82)+1),ROW()-78),1),"")</f>
        <v/>
      </c>
      <c r="V88" s="100" t="str">
        <v/>
      </c>
    </row>
    <row r="89" spans="1:22" ht="15" customHeight="1" x14ac:dyDescent="0.2">
      <c r="A89" s="37"/>
      <c r="B89" s="59"/>
      <c r="C89" s="60"/>
      <c r="D89" s="83" t="str">
        <f t="shared" si="4"/>
        <v xml:space="preserve"> 000</v>
      </c>
      <c r="E89" s="119"/>
      <c r="F89" s="119"/>
      <c r="G89" s="120"/>
      <c r="H89" s="62"/>
      <c r="I89" s="62"/>
      <c r="J89" s="63"/>
      <c r="K89" s="37"/>
      <c r="L89" s="95"/>
      <c r="M89" s="98" t="str">
        <f t="array" ref="M89">IFERROR(INDEX(AOC_AS_NON_100L!$G$2:$G$21,SMALL(IF(AOC_AS_NON_100L!$G$2:$G$21&lt;&gt;"",ROW(AOC_AS_NON_100L!$G$2:$G$21)-ROW(AOC_AS_NON_100L!$G$2)+1),ROW()-78),1),"")</f>
        <v/>
      </c>
      <c r="N89" s="99" t="str">
        <v/>
      </c>
      <c r="O89" s="98" t="str">
        <f t="array" ref="O89">IFERROR(INDEX(AOC_AS_NON_100L!$G$22:$G$41,SMALL(IF(AOC_AS_NON_100L!$G$22:$G$41&lt;&gt;"",ROW(AOC_AS_NON_100L!$G$22:$G$41)-ROW(AOC_AS_NON_100L!$G$22)+1),ROW()-78),1),"")</f>
        <v/>
      </c>
      <c r="P89" s="99" t="str">
        <v/>
      </c>
      <c r="Q89" s="98" t="str">
        <f t="array" ref="Q89">IFERROR(INDEX(AOC_AS_NON_100L!$G$42:$G$61,SMALL(IF(AOC_AS_NON_100L!$G$42:$G$61&lt;&gt;"",ROW(AOC_AS_NON_100L!$G$42:$G$61)-ROW(AOC_AS_NON_100L!$G$42)+1),ROW()-78),1),"")</f>
        <v/>
      </c>
      <c r="R89" s="99" t="str">
        <v/>
      </c>
      <c r="S89" s="98" t="str">
        <f t="array" ref="S89">IFERROR(INDEX(AOC_AS_NON_100L!$G$62:$G$81,SMALL(IF(AOC_AS_NON_100L!$G$62:$G$81&lt;&gt;"",ROW(AOC_AS_NON_100L!$G$62:$G$81)-ROW(AOC_AS_NON_100L!$G$62)+1),ROW()-78),1),"")</f>
        <v/>
      </c>
      <c r="T89" s="99" t="str">
        <v/>
      </c>
      <c r="U89" s="98" t="str">
        <f t="array" ref="U89">IFERROR(INDEX(AOC_AS_NON_100L!$G$82:$G$101,SMALL(IF(AOC_AS_NON_100L!$G$82:$G$101&lt;&gt;"",ROW(AOC_AS_NON_100L!$G$82:$G$101)-ROW(AOC_AS_NON_100L!$G$82)+1),ROW()-78),1),"")</f>
        <v/>
      </c>
      <c r="V89" s="100" t="str">
        <v/>
      </c>
    </row>
    <row r="90" spans="1:22" ht="15" customHeight="1" x14ac:dyDescent="0.2">
      <c r="A90" s="37"/>
      <c r="B90" s="68"/>
      <c r="C90" s="69"/>
      <c r="D90" s="84" t="str">
        <f t="shared" si="4"/>
        <v xml:space="preserve"> 000</v>
      </c>
      <c r="E90" s="124"/>
      <c r="F90" s="124"/>
      <c r="G90" s="125"/>
      <c r="H90" s="71"/>
      <c r="I90" s="71"/>
      <c r="J90" s="72"/>
      <c r="K90" s="37"/>
      <c r="L90" s="95"/>
      <c r="M90" s="98" t="str">
        <f t="array" ref="M90">IFERROR(INDEX(AOC_AS_NON_100L!$G$2:$G$21,SMALL(IF(AOC_AS_NON_100L!$G$2:$G$21&lt;&gt;"",ROW(AOC_AS_NON_100L!$G$2:$G$21)-ROW(AOC_AS_NON_100L!$G$2)+1),ROW()-78),1),"")</f>
        <v/>
      </c>
      <c r="N90" s="99" t="str">
        <v/>
      </c>
      <c r="O90" s="98" t="str">
        <f t="array" ref="O90">IFERROR(INDEX(AOC_AS_NON_100L!$G$22:$G$41,SMALL(IF(AOC_AS_NON_100L!$G$22:$G$41&lt;&gt;"",ROW(AOC_AS_NON_100L!$G$22:$G$41)-ROW(AOC_AS_NON_100L!$G$22)+1),ROW()-78),1),"")</f>
        <v/>
      </c>
      <c r="P90" s="99" t="str">
        <v/>
      </c>
      <c r="Q90" s="98" t="str">
        <f t="array" ref="Q90">IFERROR(INDEX(AOC_AS_NON_100L!$G$42:$G$61,SMALL(IF(AOC_AS_NON_100L!$G$42:$G$61&lt;&gt;"",ROW(AOC_AS_NON_100L!$G$42:$G$61)-ROW(AOC_AS_NON_100L!$G$42)+1),ROW()-78),1),"")</f>
        <v/>
      </c>
      <c r="R90" s="99" t="str">
        <v/>
      </c>
      <c r="S90" s="98" t="str">
        <f t="array" ref="S90">IFERROR(INDEX(AOC_AS_NON_100L!$G$62:$G$81,SMALL(IF(AOC_AS_NON_100L!$G$62:$G$81&lt;&gt;"",ROW(AOC_AS_NON_100L!$G$62:$G$81)-ROW(AOC_AS_NON_100L!$G$62)+1),ROW()-78),1),"")</f>
        <v/>
      </c>
      <c r="T90" s="99" t="str">
        <v/>
      </c>
      <c r="U90" s="98" t="str">
        <f t="array" ref="U90">IFERROR(INDEX(AOC_AS_NON_100L!$G$82:$G$101,SMALL(IF(AOC_AS_NON_100L!$G$82:$G$101&lt;&gt;"",ROW(AOC_AS_NON_100L!$G$82:$G$101)-ROW(AOC_AS_NON_100L!$G$82)+1),ROW()-78),1),"")</f>
        <v/>
      </c>
      <c r="V90" s="100" t="str">
        <v/>
      </c>
    </row>
    <row r="91" spans="1:22" ht="15" customHeight="1" thickBot="1" x14ac:dyDescent="0.25">
      <c r="A91" s="37"/>
      <c r="B91" s="73"/>
      <c r="C91" s="74"/>
      <c r="D91" s="74"/>
      <c r="E91" s="74"/>
      <c r="F91" s="74" t="s">
        <v>198</v>
      </c>
      <c r="G91" s="74"/>
      <c r="H91" s="74">
        <f>SUM(H82:H90)</f>
        <v>0</v>
      </c>
      <c r="I91" s="74"/>
      <c r="J91" s="75"/>
      <c r="K91" s="37"/>
      <c r="L91" s="95"/>
      <c r="M91" s="98" t="str">
        <f t="array" ref="M91">IFERROR(INDEX(AOC_AS_NON_100L!$G$2:$G$21,SMALL(IF(AOC_AS_NON_100L!$G$2:$G$21&lt;&gt;"",ROW(AOC_AS_NON_100L!$G$2:$G$21)-ROW(AOC_AS_NON_100L!$G$2)+1),ROW()-78),1),"")</f>
        <v/>
      </c>
      <c r="N91" s="99" t="str">
        <v/>
      </c>
      <c r="O91" s="98" t="str">
        <f t="array" ref="O91">IFERROR(INDEX(AOC_AS_NON_100L!$G$22:$G$41,SMALL(IF(AOC_AS_NON_100L!$G$22:$G$41&lt;&gt;"",ROW(AOC_AS_NON_100L!$G$22:$G$41)-ROW(AOC_AS_NON_100L!$G$22)+1),ROW()-78),1),"")</f>
        <v/>
      </c>
      <c r="P91" s="99" t="str">
        <v/>
      </c>
      <c r="Q91" s="98" t="str">
        <f t="array" ref="Q91">IFERROR(INDEX(AOC_AS_NON_100L!$G$42:$G$61,SMALL(IF(AOC_AS_NON_100L!$G$42:$G$61&lt;&gt;"",ROW(AOC_AS_NON_100L!$G$42:$G$61)-ROW(AOC_AS_NON_100L!$G$42)+1),ROW()-78),1),"")</f>
        <v/>
      </c>
      <c r="R91" s="99" t="str">
        <v/>
      </c>
      <c r="S91" s="98" t="str">
        <f t="array" ref="S91">IFERROR(INDEX(AOC_AS_NON_100L!$G$62:$G$81,SMALL(IF(AOC_AS_NON_100L!$G$62:$G$81&lt;&gt;"",ROW(AOC_AS_NON_100L!$G$62:$G$81)-ROW(AOC_AS_NON_100L!$G$62)+1),ROW()-78),1),"")</f>
        <v/>
      </c>
      <c r="T91" s="99" t="str">
        <v/>
      </c>
      <c r="U91" s="98" t="str">
        <f t="array" ref="U91">IFERROR(INDEX(AOC_AS_NON_100L!$G$82:$G$101,SMALL(IF(AOC_AS_NON_100L!$G$82:$G$101&lt;&gt;"",ROW(AOC_AS_NON_100L!$G$82:$G$101)-ROW(AOC_AS_NON_100L!$G$82)+1),ROW()-78),1),"")</f>
        <v/>
      </c>
      <c r="V91" s="100" t="str">
        <v/>
      </c>
    </row>
    <row r="92" spans="1:22" ht="15" customHeight="1" x14ac:dyDescent="0.2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95"/>
      <c r="M92" s="98" t="str">
        <f t="array" ref="M92">IFERROR(INDEX(AOC_AS_NON_100L!$G$2:$G$21,SMALL(IF(AOC_AS_NON_100L!$G$2:$G$21&lt;&gt;"",ROW(AOC_AS_NON_100L!$G$2:$G$21)-ROW(AOC_AS_NON_100L!$G$2)+1),ROW()-78),1),"")</f>
        <v/>
      </c>
      <c r="N92" s="99" t="str">
        <v/>
      </c>
      <c r="O92" s="98" t="str">
        <f t="array" ref="O92">IFERROR(INDEX(AOC_AS_NON_100L!$G$22:$G$41,SMALL(IF(AOC_AS_NON_100L!$G$22:$G$41&lt;&gt;"",ROW(AOC_AS_NON_100L!$G$22:$G$41)-ROW(AOC_AS_NON_100L!$G$22)+1),ROW()-78),1),"")</f>
        <v/>
      </c>
      <c r="P92" s="99" t="str">
        <v/>
      </c>
      <c r="Q92" s="98" t="str">
        <f t="array" ref="Q92">IFERROR(INDEX(AOC_AS_NON_100L!$G$42:$G$61,SMALL(IF(AOC_AS_NON_100L!$G$42:$G$61&lt;&gt;"",ROW(AOC_AS_NON_100L!$G$42:$G$61)-ROW(AOC_AS_NON_100L!$G$42)+1),ROW()-78),1),"")</f>
        <v/>
      </c>
      <c r="R92" s="99" t="str">
        <v/>
      </c>
      <c r="S92" s="98" t="str">
        <f t="array" ref="S92">IFERROR(INDEX(AOC_AS_NON_100L!$G$62:$G$81,SMALL(IF(AOC_AS_NON_100L!$G$62:$G$81&lt;&gt;"",ROW(AOC_AS_NON_100L!$G$62:$G$81)-ROW(AOC_AS_NON_100L!$G$62)+1),ROW()-78),1),"")</f>
        <v/>
      </c>
      <c r="T92" s="99" t="str">
        <v/>
      </c>
      <c r="U92" s="98" t="str">
        <f t="array" ref="U92">IFERROR(INDEX(AOC_AS_NON_100L!$G$82:$G$101,SMALL(IF(AOC_AS_NON_100L!$G$82:$G$101&lt;&gt;"",ROW(AOC_AS_NON_100L!$G$82:$G$101)-ROW(AOC_AS_NON_100L!$G$82)+1),ROW()-78),1),"")</f>
        <v/>
      </c>
      <c r="V92" s="100" t="str">
        <v/>
      </c>
    </row>
    <row r="93" spans="1:22" ht="15" customHeight="1" x14ac:dyDescent="0.2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95"/>
      <c r="M93" s="98" t="str">
        <f t="array" ref="M93">IFERROR(INDEX(AOC_AS_NON_100L!$G$2:$G$21,SMALL(IF(AOC_AS_NON_100L!$G$2:$G$21&lt;&gt;"",ROW(AOC_AS_NON_100L!$G$2:$G$21)-ROW(AOC_AS_NON_100L!$G$2)+1),ROW()-78),1),"")</f>
        <v/>
      </c>
      <c r="N93" s="99" t="str">
        <v/>
      </c>
      <c r="O93" s="98" t="str">
        <f t="array" ref="O93">IFERROR(INDEX(AOC_AS_NON_100L!$G$22:$G$41,SMALL(IF(AOC_AS_NON_100L!$G$22:$G$41&lt;&gt;"",ROW(AOC_AS_NON_100L!$G$22:$G$41)-ROW(AOC_AS_NON_100L!$G$22)+1),ROW()-78),1),"")</f>
        <v/>
      </c>
      <c r="P93" s="99" t="str">
        <v/>
      </c>
      <c r="Q93" s="98" t="str">
        <f t="array" ref="Q93">IFERROR(INDEX(AOC_AS_NON_100L!$G$42:$G$61,SMALL(IF(AOC_AS_NON_100L!$G$42:$G$61&lt;&gt;"",ROW(AOC_AS_NON_100L!$G$42:$G$61)-ROW(AOC_AS_NON_100L!$G$42)+1),ROW()-78),1),"")</f>
        <v/>
      </c>
      <c r="R93" s="99" t="str">
        <v/>
      </c>
      <c r="S93" s="98" t="str">
        <f t="array" ref="S93">IFERROR(INDEX(AOC_AS_NON_100L!$G$62:$G$81,SMALL(IF(AOC_AS_NON_100L!$G$62:$G$81&lt;&gt;"",ROW(AOC_AS_NON_100L!$G$62:$G$81)-ROW(AOC_AS_NON_100L!$G$62)+1),ROW()-78),1),"")</f>
        <v/>
      </c>
      <c r="T93" s="99" t="str">
        <v/>
      </c>
      <c r="U93" s="98" t="str">
        <f t="array" ref="U93">IFERROR(INDEX(AOC_AS_NON_100L!$G$82:$G$101,SMALL(IF(AOC_AS_NON_100L!$G$82:$G$101&lt;&gt;"",ROW(AOC_AS_NON_100L!$G$82:$G$101)-ROW(AOC_AS_NON_100L!$G$82)+1),ROW()-78),1),"")</f>
        <v/>
      </c>
      <c r="V93" s="100" t="str">
        <v/>
      </c>
    </row>
    <row r="94" spans="1:22" ht="15" customHeight="1" x14ac:dyDescent="0.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95"/>
      <c r="M94" s="98" t="str">
        <f t="array" ref="M94">IFERROR(INDEX(AOC_AS_NON_100L!$G$2:$G$21,SMALL(IF(AOC_AS_NON_100L!$G$2:$G$21&lt;&gt;"",ROW(AOC_AS_NON_100L!$G$2:$G$21)-ROW(AOC_AS_NON_100L!$G$2)+1),ROW()-78),1),"")</f>
        <v/>
      </c>
      <c r="N94" s="99" t="str">
        <v/>
      </c>
      <c r="O94" s="98" t="str">
        <f t="array" ref="O94">IFERROR(INDEX(AOC_AS_NON_100L!$G$22:$G$41,SMALL(IF(AOC_AS_NON_100L!$G$22:$G$41&lt;&gt;"",ROW(AOC_AS_NON_100L!$G$22:$G$41)-ROW(AOC_AS_NON_100L!$G$22)+1),ROW()-78),1),"")</f>
        <v/>
      </c>
      <c r="P94" s="99" t="str">
        <v/>
      </c>
      <c r="Q94" s="98" t="str">
        <f t="array" ref="Q94">IFERROR(INDEX(AOC_AS_NON_100L!$G$42:$G$61,SMALL(IF(AOC_AS_NON_100L!$G$42:$G$61&lt;&gt;"",ROW(AOC_AS_NON_100L!$G$42:$G$61)-ROW(AOC_AS_NON_100L!$G$42)+1),ROW()-78),1),"")</f>
        <v/>
      </c>
      <c r="R94" s="99" t="str">
        <v/>
      </c>
      <c r="S94" s="98" t="str">
        <f t="array" ref="S94">IFERROR(INDEX(AOC_AS_NON_100L!$G$62:$G$81,SMALL(IF(AOC_AS_NON_100L!$G$62:$G$81&lt;&gt;"",ROW(AOC_AS_NON_100L!$G$62:$G$81)-ROW(AOC_AS_NON_100L!$G$62)+1),ROW()-78),1),"")</f>
        <v/>
      </c>
      <c r="T94" s="99" t="str">
        <v/>
      </c>
      <c r="U94" s="98" t="str">
        <f t="array" ref="U94">IFERROR(INDEX(AOC_AS_NON_100L!$G$82:$G$101,SMALL(IF(AOC_AS_NON_100L!$G$82:$G$101&lt;&gt;"",ROW(AOC_AS_NON_100L!$G$82:$G$101)-ROW(AOC_AS_NON_100L!$G$82)+1),ROW()-78),1),"")</f>
        <v/>
      </c>
      <c r="V94" s="100" t="str">
        <v/>
      </c>
    </row>
    <row r="95" spans="1:22" ht="15" customHeight="1" x14ac:dyDescent="0.2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95"/>
      <c r="M95" s="98" t="str">
        <f t="array" ref="M95">IFERROR(INDEX(AOC_AS_NON_100L!$G$2:$G$21,SMALL(IF(AOC_AS_NON_100L!$G$2:$G$21&lt;&gt;"",ROW(AOC_AS_NON_100L!$G$2:$G$21)-ROW(AOC_AS_NON_100L!$G$2)+1),ROW()-78),1),"")</f>
        <v/>
      </c>
      <c r="N95" s="99" t="str">
        <v/>
      </c>
      <c r="O95" s="98" t="str">
        <f t="array" ref="O95">IFERROR(INDEX(AOC_AS_NON_100L!$G$22:$G$41,SMALL(IF(AOC_AS_NON_100L!$G$22:$G$41&lt;&gt;"",ROW(AOC_AS_NON_100L!$G$22:$G$41)-ROW(AOC_AS_NON_100L!$G$22)+1),ROW()-78),1),"")</f>
        <v/>
      </c>
      <c r="P95" s="99" t="str">
        <v/>
      </c>
      <c r="Q95" s="98" t="str">
        <f t="array" ref="Q95">IFERROR(INDEX(AOC_AS_NON_100L!$G$42:$G$61,SMALL(IF(AOC_AS_NON_100L!$G$42:$G$61&lt;&gt;"",ROW(AOC_AS_NON_100L!$G$42:$G$61)-ROW(AOC_AS_NON_100L!$G$42)+1),ROW()-78),1),"")</f>
        <v/>
      </c>
      <c r="R95" s="99" t="str">
        <v/>
      </c>
      <c r="S95" s="98" t="str">
        <f t="array" ref="S95">IFERROR(INDEX(AOC_AS_NON_100L!$G$62:$G$81,SMALL(IF(AOC_AS_NON_100L!$G$62:$G$81&lt;&gt;"",ROW(AOC_AS_NON_100L!$G$62:$G$81)-ROW(AOC_AS_NON_100L!$G$62)+1),ROW()-78),1),"")</f>
        <v/>
      </c>
      <c r="T95" s="99" t="str">
        <v/>
      </c>
      <c r="U95" s="98" t="str">
        <f t="array" ref="U95">IFERROR(INDEX(AOC_AS_NON_100L!$G$82:$G$101,SMALL(IF(AOC_AS_NON_100L!$G$82:$G$101&lt;&gt;"",ROW(AOC_AS_NON_100L!$G$82:$G$101)-ROW(AOC_AS_NON_100L!$G$82)+1),ROW()-78),1),"")</f>
        <v/>
      </c>
      <c r="V95" s="100" t="str">
        <v/>
      </c>
    </row>
    <row r="96" spans="1:22" ht="15" customHeight="1" x14ac:dyDescent="0.2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95"/>
      <c r="M96" s="98" t="str">
        <f t="array" ref="M96">IFERROR(INDEX(AOC_AS_NON_100L!$G$2:$G$21,SMALL(IF(AOC_AS_NON_100L!$G$2:$G$21&lt;&gt;"",ROW(AOC_AS_NON_100L!$G$2:$G$21)-ROW(AOC_AS_NON_100L!$G$2)+1),ROW()-78),1),"")</f>
        <v/>
      </c>
      <c r="N96" s="99" t="str">
        <v/>
      </c>
      <c r="O96" s="98" t="str">
        <f t="array" ref="O96">IFERROR(INDEX(AOC_AS_NON_100L!$G$22:$G$41,SMALL(IF(AOC_AS_NON_100L!$G$22:$G$41&lt;&gt;"",ROW(AOC_AS_NON_100L!$G$22:$G$41)-ROW(AOC_AS_NON_100L!$G$22)+1),ROW()-78),1),"")</f>
        <v/>
      </c>
      <c r="P96" s="99" t="str">
        <v/>
      </c>
      <c r="Q96" s="98" t="str">
        <f t="array" ref="Q96">IFERROR(INDEX(AOC_AS_NON_100L!$G$42:$G$61,SMALL(IF(AOC_AS_NON_100L!$G$42:$G$61&lt;&gt;"",ROW(AOC_AS_NON_100L!$G$42:$G$61)-ROW(AOC_AS_NON_100L!$G$42)+1),ROW()-78),1),"")</f>
        <v/>
      </c>
      <c r="R96" s="99" t="str">
        <v/>
      </c>
      <c r="S96" s="98" t="str">
        <f t="array" ref="S96">IFERROR(INDEX(AOC_AS_NON_100L!$G$62:$G$81,SMALL(IF(AOC_AS_NON_100L!$G$62:$G$81&lt;&gt;"",ROW(AOC_AS_NON_100L!$G$62:$G$81)-ROW(AOC_AS_NON_100L!$G$62)+1),ROW()-78),1),"")</f>
        <v/>
      </c>
      <c r="T96" s="99" t="str">
        <v/>
      </c>
      <c r="U96" s="98" t="str">
        <f t="array" ref="U96">IFERROR(INDEX(AOC_AS_NON_100L!$G$82:$G$101,SMALL(IF(AOC_AS_NON_100L!$G$82:$G$101&lt;&gt;"",ROW(AOC_AS_NON_100L!$G$82:$G$101)-ROW(AOC_AS_NON_100L!$G$82)+1),ROW()-78),1),"")</f>
        <v/>
      </c>
      <c r="V96" s="100" t="str">
        <v/>
      </c>
    </row>
    <row r="97" spans="1:22" ht="15" customHeight="1" x14ac:dyDescent="0.2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95"/>
      <c r="M97" s="101" t="str">
        <f t="array" ref="M97">IFERROR(INDEX(AOC_AS_NON_100L!$G$2:$G$21,SMALL(IF(AOC_AS_NON_100L!$G$2:$G$21&lt;&gt;"",ROW(AOC_AS_NON_100L!$G$2:$G$21)-ROW(AOC_AS_NON_100L!$G$2)+1),ROW()-78),1),"")</f>
        <v/>
      </c>
      <c r="N97" s="99" t="str">
        <v/>
      </c>
      <c r="O97" s="101" t="str">
        <f t="array" ref="O97">IFERROR(INDEX(AOC_AS_NON_100L!$G$22:$G$41,SMALL(IF(AOC_AS_NON_100L!$G$22:$G$41&lt;&gt;"",ROW(AOC_AS_NON_100L!$G$22:$G$41)-ROW(AOC_AS_NON_100L!$G$22)+1),ROW()-78),1),"")</f>
        <v/>
      </c>
      <c r="P97" s="99" t="str">
        <v/>
      </c>
      <c r="Q97" s="98" t="str">
        <f t="array" ref="Q97">IFERROR(INDEX(AOC_AS_NON_100L!$G$42:$G$61,SMALL(IF(AOC_AS_NON_100L!$G$42:$G$61&lt;&gt;"",ROW(AOC_AS_NON_100L!$G$42:$G$61)-ROW(AOC_AS_NON_100L!$G$42)+1),ROW()-78),1),"")</f>
        <v/>
      </c>
      <c r="R97" s="99" t="str">
        <v/>
      </c>
      <c r="S97" s="98" t="str">
        <f t="array" ref="S97">IFERROR(INDEX(AOC_AS_NON_100L!$G$62:$G$81,SMALL(IF(AOC_AS_NON_100L!$G$62:$G$81&lt;&gt;"",ROW(AOC_AS_NON_100L!$G$62:$G$81)-ROW(AOC_AS_NON_100L!$G$62)+1),ROW()-78),1),"")</f>
        <v/>
      </c>
      <c r="T97" s="99" t="str">
        <v/>
      </c>
      <c r="U97" s="98" t="str">
        <f t="array" ref="U97">IFERROR(INDEX(AOC_AS_NON_100L!$G$82:$G$101,SMALL(IF(AOC_AS_NON_100L!$G$82:$G$101&lt;&gt;"",ROW(AOC_AS_NON_100L!$G$82:$G$101)-ROW(AOC_AS_NON_100L!$G$82)+1),ROW()-78),1),"")</f>
        <v/>
      </c>
      <c r="V97" s="100" t="str">
        <v/>
      </c>
    </row>
    <row r="98" spans="1:22" ht="14.25" customHeight="1" x14ac:dyDescent="0.2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95"/>
      <c r="M98" s="101" t="str">
        <f t="array" ref="M98">IFERROR(INDEX(AOC_AS_NON_100L!$G$2:$G$21,SMALL(IF(AOC_AS_NON_100L!$G$2:$G$21&lt;&gt;"",ROW(AOC_AS_NON_100L!$G$2:$G$21)-ROW(AOC_AS_NON_100L!$G$2)+1),ROW()-78),1),"")</f>
        <v/>
      </c>
      <c r="N98" s="99" t="str">
        <v/>
      </c>
      <c r="O98" s="101" t="str">
        <f t="array" ref="O98">IFERROR(INDEX(AOC_AS_NON_100L!$G$22:$G$41,SMALL(IF(AOC_AS_NON_100L!$G$22:$G$41&lt;&gt;"",ROW(AOC_AS_NON_100L!$G$22:$G$41)-ROW(AOC_AS_NON_100L!$G$22)+1),ROW()-78),1),"")</f>
        <v/>
      </c>
      <c r="P98" s="99" t="str">
        <v/>
      </c>
      <c r="Q98" s="101" t="str">
        <f t="array" ref="Q98">IFERROR(INDEX(AOC_AS_NON_100L!$G$42:$G$61,SMALL(IF(AOC_AS_NON_100L!$G$42:$G$61&lt;&gt;"",ROW(AOC_AS_NON_100L!$G$42:$G$61)-ROW(AOC_AS_NON_100L!$G$42)+1),ROW()-78),1),"")</f>
        <v/>
      </c>
      <c r="R98" s="99" t="str">
        <v/>
      </c>
      <c r="S98" s="101" t="str">
        <f t="array" ref="S98">IFERROR(INDEX(AOC_AS_NON_100L!$G$62:$G$81,SMALL(IF(AOC_AS_NON_100L!$G$62:$G$81&lt;&gt;"",ROW(AOC_AS_NON_100L!$G$62:$G$81)-ROW(AOC_AS_NON_100L!$G$62)+1),ROW()-78),1),"")</f>
        <v/>
      </c>
      <c r="T98" s="99" t="str">
        <v/>
      </c>
      <c r="U98" s="101" t="str">
        <f t="array" ref="U98">IFERROR(INDEX(AOC_AS_NON_100L!$G$82:$G$101,SMALL(IF(AOC_AS_NON_100L!$G$82:$G$101&lt;&gt;"",ROW(AOC_AS_NON_100L!$G$82:$G$101)-ROW(AOC_AS_NON_100L!$G$82)+1),ROW()-78),1),"")</f>
        <v/>
      </c>
      <c r="V98" s="100" t="str">
        <v/>
      </c>
    </row>
    <row r="99" spans="1:22" ht="14.25" customHeight="1" x14ac:dyDescent="0.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29"/>
      <c r="M99" s="24"/>
      <c r="N99" s="144" t="s">
        <v>1360</v>
      </c>
      <c r="O99" s="144"/>
      <c r="P99" s="106">
        <f>Q99</f>
        <v>0</v>
      </c>
      <c r="Q99" s="143">
        <f>SUM(N79:N98,P79:P98,R79:R98,T79:T98,V79:V98,V99:V100)</f>
        <v>0</v>
      </c>
      <c r="R99" s="141" t="s">
        <v>1347</v>
      </c>
      <c r="S99" s="24"/>
      <c r="T99" s="24"/>
      <c r="U99" s="24"/>
      <c r="V99" s="33"/>
    </row>
    <row r="100" spans="1:22" ht="21" customHeight="1" x14ac:dyDescent="0.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1"/>
      <c r="M100" s="22"/>
      <c r="N100" s="145"/>
      <c r="O100" s="145"/>
      <c r="P100" s="107"/>
      <c r="Q100" s="138"/>
      <c r="R100" s="142"/>
      <c r="S100" s="22"/>
      <c r="T100" s="22"/>
      <c r="U100" s="22"/>
      <c r="V100" s="34"/>
    </row>
    <row r="101" spans="1:22" ht="15" customHeight="1" thickBot="1" x14ac:dyDescent="0.25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110" t="s">
        <v>1348</v>
      </c>
      <c r="M101" s="111"/>
      <c r="N101" s="111"/>
      <c r="O101" s="111"/>
      <c r="P101" s="111"/>
      <c r="Q101" s="111"/>
      <c r="R101" s="111"/>
      <c r="S101" s="111"/>
      <c r="T101" s="111"/>
      <c r="U101" s="111"/>
      <c r="V101" s="112"/>
    </row>
    <row r="102" spans="1:22" ht="15" customHeight="1" x14ac:dyDescent="0.2">
      <c r="A102" s="37"/>
      <c r="B102" s="76" t="s">
        <v>5</v>
      </c>
      <c r="C102" s="77"/>
      <c r="D102" s="77"/>
      <c r="E102" s="77"/>
      <c r="F102" s="79"/>
      <c r="G102" s="79"/>
      <c r="H102" s="79"/>
      <c r="I102" s="79"/>
      <c r="J102" s="80"/>
      <c r="K102" s="37"/>
      <c r="L102" s="113"/>
      <c r="M102" s="114"/>
      <c r="N102" s="114"/>
      <c r="O102" s="114"/>
      <c r="P102" s="114"/>
      <c r="Q102" s="114"/>
      <c r="R102" s="114"/>
      <c r="S102" s="114"/>
      <c r="T102" s="114"/>
      <c r="U102" s="114"/>
      <c r="V102" s="115"/>
    </row>
    <row r="103" spans="1:22" ht="15" customHeight="1" thickBot="1" x14ac:dyDescent="0.25">
      <c r="A103" s="37"/>
      <c r="B103" s="49" t="s">
        <v>177</v>
      </c>
      <c r="C103" s="50" t="s">
        <v>6</v>
      </c>
      <c r="D103" s="50"/>
      <c r="E103" s="123" t="s">
        <v>154</v>
      </c>
      <c r="F103" s="123"/>
      <c r="G103" s="123"/>
      <c r="H103" s="50" t="s">
        <v>199</v>
      </c>
      <c r="I103" s="50" t="s">
        <v>155</v>
      </c>
      <c r="J103" s="81" t="s">
        <v>155</v>
      </c>
      <c r="K103" s="37"/>
      <c r="L103" s="95"/>
      <c r="M103" s="98" t="str">
        <f t="array" ref="M103:M122">IFERROR(INDEX(AOC_AS_NON_100L!$M$2:$M$21,SMALL(IF(AOC_AS_NON_100L!$M$2:$M$21&lt;&gt;"",ROW(AOC_AS_NON_100L!$M$2:$M$21)-ROW(AOC_AS_NON_100L!$M$2)+1),ROW()-102),1),"")</f>
        <v/>
      </c>
      <c r="N103" s="99" t="str">
        <f t="array" ref="N103">IFERROR(INDEX(AOC_AS_NON_100L!$N$2:$N$21,SMALL(IF(AOC_AS_NON_100L!$N$2:$N$21&lt;&gt;"",ROW(AOC_AS_NON_100L!$N$2:$N$21)-ROW(AOC_AS_NON_100L!$N$2)+1),ROW()-102),1),"")</f>
        <v/>
      </c>
      <c r="O103" s="98" t="str">
        <f t="array" ref="O103:O122">IFERROR(INDEX(AOC_AS_NON_100L!$M$22:$M$41,SMALL(IF(AOC_AS_NON_100L!$M$22:$M$41&lt;&gt;"",ROW(AOC_AS_NON_100L!$M$22:$M$41)-ROW(AOC_AS_NON_100L!$M$22)+1),ROW()-102),1),"")</f>
        <v/>
      </c>
      <c r="P103" s="99" t="str">
        <f t="array" ref="P103">IFERROR(INDEX(AOC_AS_NON_100L!$N$22:$N$41,SMALL(IF(AOC_AS_NON_100L!$N$22:$N$41&lt;&gt;"",ROW(AOC_AS_NON_100L!$N$22:$N$41)-ROW(AOC_AS_NON_100L!$N$22)+1),ROW()-102),1),"")</f>
        <v/>
      </c>
      <c r="Q103" s="98" t="str">
        <f t="array" ref="Q103">IFERROR(INDEX(AOC_AS_NON_100L!$M$42:$M$61,SMALL(IF(AOC_AS_NON_100L!$M$42:$M$61&lt;&gt;"",ROW(AOC_AS_NON_100L!$M$42:$M$61)-ROW(AOC_AS_NON_100L!$M$42)+1),ROW()-102),1),"")</f>
        <v/>
      </c>
      <c r="R103" s="99" t="str">
        <f t="array" ref="R103:R122">IFERROR(INDEX(AOC_AS_NON_100L!$N$42:$N$61,SMALL(IF(AOC_AS_NON_100L!$N$42:$N$61&lt;&gt;"",ROW(AOC_AS_NON_100L!$N$42:$N$61)-ROW(AOC_AS_NON_100L!$N$42)+1),ROW()-102),1),"")</f>
        <v/>
      </c>
      <c r="S103" s="98" t="str">
        <f t="array" ref="S103">IFERROR(INDEX(AOC_AS_NON_100L!$M$62:$M$81,SMALL(IF(AOC_AS_NON_100L!$M$62:$M$81&lt;&gt;"",ROW(AOC_AS_NON_100L!$M$62:$M$81)-ROW(AOC_AS_NON_100L!$M$62)+1),ROW()-102),1),"")</f>
        <v/>
      </c>
      <c r="T103" s="99" t="str">
        <f t="array" ref="T103">IFERROR(INDEX(AOC_AS_NON_100L!$N$62:$N$81,SMALL(IF(AOC_AS_NON_100L!$N$62:$N$81&lt;&gt;"",ROW(AOC_AS_NON_100L!$N$62:$N$81)-ROW(AOC_AS_NON_100L!$N$62)+1),ROW()-102),1),"")</f>
        <v/>
      </c>
      <c r="U103" s="98" t="str">
        <f t="array" ref="U103">IFERROR(INDEX(AOC_AS_NON_100L!$M$82:$M$101,SMALL(IF(AOC_AS_NON_100L!$M$82:$M$101&lt;&gt;"",ROW(AOC_AS_NON_100L!$M$82:$M$101)-ROW(AOC_AS_NON_100L!$M$82)+1),ROW()-102),1),"")</f>
        <v/>
      </c>
      <c r="V103" s="100" t="str">
        <f t="array" ref="V103">IFERROR(INDEX(AOC_AS_NON_100L!$N$82:$N$101,SMALL(IF(AOC_AS_NON_100L!$N$82:$N$101&lt;&gt;"",ROW(AOC_AS_NON_100L!$N$82:$N$101)-ROW(AOC_AS_NON_100L!$N$82)+1),ROW()-102),1),"")</f>
        <v/>
      </c>
    </row>
    <row r="104" spans="1:22" ht="15" customHeight="1" thickTop="1" x14ac:dyDescent="0.2">
      <c r="A104" s="37"/>
      <c r="B104" s="54"/>
      <c r="C104" s="55"/>
      <c r="D104" s="82" t="str">
        <f>CONCATENATE(B104," ",TEXT(C104,"000"))</f>
        <v xml:space="preserve"> 000</v>
      </c>
      <c r="E104" s="121"/>
      <c r="F104" s="121"/>
      <c r="G104" s="122"/>
      <c r="H104" s="57"/>
      <c r="I104" s="57"/>
      <c r="J104" s="58"/>
      <c r="K104" s="37"/>
      <c r="L104" s="95"/>
      <c r="M104" s="98" t="str">
        <v/>
      </c>
      <c r="N104" s="99" t="str">
        <f t="array" ref="N104">IFERROR(INDEX(AOC_AS_NON_100L!$N$2:$N$21,SMALL(IF(AOC_AS_NON_100L!$N$2:$N$21&lt;&gt;"",ROW(AOC_AS_NON_100L!$N$2:$N$21)-ROW(AOC_AS_NON_100L!$N$2)+1),ROW()-102),1),"")</f>
        <v/>
      </c>
      <c r="O104" s="98" t="str">
        <v/>
      </c>
      <c r="P104" s="99" t="str">
        <f t="array" ref="P104">IFERROR(INDEX(AOC_AS_NON_100L!$N$22:$N$41,SMALL(IF(AOC_AS_NON_100L!$N$22:$N$41&lt;&gt;"",ROW(AOC_AS_NON_100L!$N$22:$N$41)-ROW(AOC_AS_NON_100L!$N$22)+1),ROW()-102),1),"")</f>
        <v/>
      </c>
      <c r="Q104" s="98" t="str">
        <f t="array" ref="Q104">IFERROR(INDEX(AOC_AS_NON_100L!$M$42:$M$61,SMALL(IF(AOC_AS_NON_100L!$M$42:$M$61&lt;&gt;"",ROW(AOC_AS_NON_100L!$M$42:$M$61)-ROW(AOC_AS_NON_100L!$M$42)+1),ROW()-102),1),"")</f>
        <v/>
      </c>
      <c r="R104" s="99" t="str">
        <v/>
      </c>
      <c r="S104" s="98" t="str">
        <f t="array" ref="S104">IFERROR(INDEX(AOC_AS_NON_100L!$M$62:$M$81,SMALL(IF(AOC_AS_NON_100L!$M$62:$M$81&lt;&gt;"",ROW(AOC_AS_NON_100L!$M$62:$M$81)-ROW(AOC_AS_NON_100L!$M$62)+1),ROW()-102),1),"")</f>
        <v/>
      </c>
      <c r="T104" s="99" t="str">
        <f t="array" ref="T104">IFERROR(INDEX(AOC_AS_NON_100L!$N$62:$N$81,SMALL(IF(AOC_AS_NON_100L!$N$62:$N$81&lt;&gt;"",ROW(AOC_AS_NON_100L!$N$62:$N$81)-ROW(AOC_AS_NON_100L!$N$62)+1),ROW()-102),1),"")</f>
        <v/>
      </c>
      <c r="U104" s="98" t="str">
        <f t="array" ref="U104">IFERROR(INDEX(AOC_AS_NON_100L!$M$82:$M$101,SMALL(IF(AOC_AS_NON_100L!$M$82:$M$101&lt;&gt;"",ROW(AOC_AS_NON_100L!$M$82:$M$101)-ROW(AOC_AS_NON_100L!$M$82)+1),ROW()-102),1),"")</f>
        <v/>
      </c>
      <c r="V104" s="100" t="str">
        <f t="array" ref="V104">IFERROR(INDEX(AOC_AS_NON_100L!$N$82:$N$101,SMALL(IF(AOC_AS_NON_100L!$N$82:$N$101&lt;&gt;"",ROW(AOC_AS_NON_100L!$N$82:$N$101)-ROW(AOC_AS_NON_100L!$N$82)+1),ROW()-102),1),"")</f>
        <v/>
      </c>
    </row>
    <row r="105" spans="1:22" ht="15" customHeight="1" x14ac:dyDescent="0.2">
      <c r="A105" s="37"/>
      <c r="B105" s="59"/>
      <c r="C105" s="60"/>
      <c r="D105" s="83" t="str">
        <f t="shared" ref="D105:D112" si="5">CONCATENATE(B105," ",TEXT(C105,"000"))</f>
        <v xml:space="preserve"> 000</v>
      </c>
      <c r="E105" s="119"/>
      <c r="F105" s="119"/>
      <c r="G105" s="120"/>
      <c r="H105" s="62"/>
      <c r="I105" s="62"/>
      <c r="J105" s="63"/>
      <c r="K105" s="37"/>
      <c r="L105" s="95"/>
      <c r="M105" s="98" t="str">
        <v/>
      </c>
      <c r="N105" s="99" t="str">
        <f t="array" ref="N105">IFERROR(INDEX(AOC_AS_NON_100L!$N$2:$N$21,SMALL(IF(AOC_AS_NON_100L!$N$2:$N$21&lt;&gt;"",ROW(AOC_AS_NON_100L!$N$2:$N$21)-ROW(AOC_AS_NON_100L!$N$2)+1),ROW()-102),1),"")</f>
        <v/>
      </c>
      <c r="O105" s="98" t="str">
        <v/>
      </c>
      <c r="P105" s="99" t="str">
        <f t="array" ref="P105">IFERROR(INDEX(AOC_AS_NON_100L!$N$22:$N$41,SMALL(IF(AOC_AS_NON_100L!$N$22:$N$41&lt;&gt;"",ROW(AOC_AS_NON_100L!$N$22:$N$41)-ROW(AOC_AS_NON_100L!$N$22)+1),ROW()-102),1),"")</f>
        <v/>
      </c>
      <c r="Q105" s="98" t="str">
        <f t="array" ref="Q105">IFERROR(INDEX(AOC_AS_NON_100L!$M$42:$M$61,SMALL(IF(AOC_AS_NON_100L!$M$42:$M$61&lt;&gt;"",ROW(AOC_AS_NON_100L!$M$42:$M$61)-ROW(AOC_AS_NON_100L!$M$42)+1),ROW()-102),1),"")</f>
        <v/>
      </c>
      <c r="R105" s="99" t="str">
        <v/>
      </c>
      <c r="S105" s="98" t="str">
        <f t="array" ref="S105">IFERROR(INDEX(AOC_AS_NON_100L!$M$62:$M$81,SMALL(IF(AOC_AS_NON_100L!$M$62:$M$81&lt;&gt;"",ROW(AOC_AS_NON_100L!$M$62:$M$81)-ROW(AOC_AS_NON_100L!$M$62)+1),ROW()-102),1),"")</f>
        <v/>
      </c>
      <c r="T105" s="99" t="str">
        <f t="array" ref="T105">IFERROR(INDEX(AOC_AS_NON_100L!$N$62:$N$81,SMALL(IF(AOC_AS_NON_100L!$N$62:$N$81&lt;&gt;"",ROW(AOC_AS_NON_100L!$N$62:$N$81)-ROW(AOC_AS_NON_100L!$N$62)+1),ROW()-102),1),"")</f>
        <v/>
      </c>
      <c r="U105" s="98" t="str">
        <f t="array" ref="U105">IFERROR(INDEX(AOC_AS_NON_100L!$M$82:$M$101,SMALL(IF(AOC_AS_NON_100L!$M$82:$M$101&lt;&gt;"",ROW(AOC_AS_NON_100L!$M$82:$M$101)-ROW(AOC_AS_NON_100L!$M$82)+1),ROW()-102),1),"")</f>
        <v/>
      </c>
      <c r="V105" s="100" t="str">
        <f t="array" ref="V105">IFERROR(INDEX(AOC_AS_NON_100L!$N$82:$N$101,SMALL(IF(AOC_AS_NON_100L!$N$82:$N$101&lt;&gt;"",ROW(AOC_AS_NON_100L!$N$82:$N$101)-ROW(AOC_AS_NON_100L!$N$82)+1),ROW()-102),1),"")</f>
        <v/>
      </c>
    </row>
    <row r="106" spans="1:22" ht="15" customHeight="1" x14ac:dyDescent="0.2">
      <c r="A106" s="37"/>
      <c r="B106" s="64"/>
      <c r="C106" s="65"/>
      <c r="D106" s="82" t="str">
        <f t="shared" si="5"/>
        <v xml:space="preserve"> 000</v>
      </c>
      <c r="E106" s="117"/>
      <c r="F106" s="117"/>
      <c r="G106" s="118"/>
      <c r="H106" s="66"/>
      <c r="I106" s="66"/>
      <c r="J106" s="58"/>
      <c r="K106" s="37"/>
      <c r="L106" s="95"/>
      <c r="M106" s="98" t="str">
        <v/>
      </c>
      <c r="N106" s="99" t="str">
        <f t="array" ref="N106">IFERROR(INDEX(AOC_AS_NON_100L!$N$2:$N$21,SMALL(IF(AOC_AS_NON_100L!$N$2:$N$21&lt;&gt;"",ROW(AOC_AS_NON_100L!$N$2:$N$21)-ROW(AOC_AS_NON_100L!$N$2)+1),ROW()-102),1),"")</f>
        <v/>
      </c>
      <c r="O106" s="98" t="str">
        <v/>
      </c>
      <c r="P106" s="99" t="str">
        <f t="array" ref="P106">IFERROR(INDEX(AOC_AS_NON_100L!$N$22:$N$41,SMALL(IF(AOC_AS_NON_100L!$N$22:$N$41&lt;&gt;"",ROW(AOC_AS_NON_100L!$N$22:$N$41)-ROW(AOC_AS_NON_100L!$N$22)+1),ROW()-102),1),"")</f>
        <v/>
      </c>
      <c r="Q106" s="98" t="str">
        <f t="array" ref="Q106">IFERROR(INDEX(AOC_AS_NON_100L!$M$42:$M$61,SMALL(IF(AOC_AS_NON_100L!$M$42:$M$61&lt;&gt;"",ROW(AOC_AS_NON_100L!$M$42:$M$61)-ROW(AOC_AS_NON_100L!$M$42)+1),ROW()-102),1),"")</f>
        <v/>
      </c>
      <c r="R106" s="99" t="str">
        <v/>
      </c>
      <c r="S106" s="98" t="str">
        <f t="array" ref="S106">IFERROR(INDEX(AOC_AS_NON_100L!$M$62:$M$81,SMALL(IF(AOC_AS_NON_100L!$M$62:$M$81&lt;&gt;"",ROW(AOC_AS_NON_100L!$M$62:$M$81)-ROW(AOC_AS_NON_100L!$M$62)+1),ROW()-102),1),"")</f>
        <v/>
      </c>
      <c r="T106" s="99" t="str">
        <f t="array" ref="T106">IFERROR(INDEX(AOC_AS_NON_100L!$N$62:$N$81,SMALL(IF(AOC_AS_NON_100L!$N$62:$N$81&lt;&gt;"",ROW(AOC_AS_NON_100L!$N$62:$N$81)-ROW(AOC_AS_NON_100L!$N$62)+1),ROW()-102),1),"")</f>
        <v/>
      </c>
      <c r="U106" s="98" t="str">
        <f t="array" ref="U106">IFERROR(INDEX(AOC_AS_NON_100L!$M$82:$M$101,SMALL(IF(AOC_AS_NON_100L!$M$82:$M$101&lt;&gt;"",ROW(AOC_AS_NON_100L!$M$82:$M$101)-ROW(AOC_AS_NON_100L!$M$82)+1),ROW()-102),1),"")</f>
        <v/>
      </c>
      <c r="V106" s="100" t="str">
        <f t="array" ref="V106">IFERROR(INDEX(AOC_AS_NON_100L!$N$82:$N$101,SMALL(IF(AOC_AS_NON_100L!$N$82:$N$101&lt;&gt;"",ROW(AOC_AS_NON_100L!$N$82:$N$101)-ROW(AOC_AS_NON_100L!$N$82)+1),ROW()-102),1),"")</f>
        <v/>
      </c>
    </row>
    <row r="107" spans="1:22" ht="15" customHeight="1" x14ac:dyDescent="0.2">
      <c r="A107" s="37"/>
      <c r="B107" s="59"/>
      <c r="C107" s="60"/>
      <c r="D107" s="83" t="str">
        <f t="shared" si="5"/>
        <v xml:space="preserve"> 000</v>
      </c>
      <c r="E107" s="119"/>
      <c r="F107" s="119"/>
      <c r="G107" s="120"/>
      <c r="H107" s="62"/>
      <c r="I107" s="62"/>
      <c r="J107" s="63"/>
      <c r="K107" s="37"/>
      <c r="L107" s="95"/>
      <c r="M107" s="98" t="str">
        <v/>
      </c>
      <c r="N107" s="99" t="str">
        <f t="array" ref="N107">IFERROR(INDEX(AOC_AS_NON_100L!$N$2:$N$21,SMALL(IF(AOC_AS_NON_100L!$N$2:$N$21&lt;&gt;"",ROW(AOC_AS_NON_100L!$N$2:$N$21)-ROW(AOC_AS_NON_100L!$N$2)+1),ROW()-102),1),"")</f>
        <v/>
      </c>
      <c r="O107" s="98" t="str">
        <v/>
      </c>
      <c r="P107" s="99" t="str">
        <f t="array" ref="P107">IFERROR(INDEX(AOC_AS_NON_100L!$N$22:$N$41,SMALL(IF(AOC_AS_NON_100L!$N$22:$N$41&lt;&gt;"",ROW(AOC_AS_NON_100L!$N$22:$N$41)-ROW(AOC_AS_NON_100L!$N$22)+1),ROW()-102),1),"")</f>
        <v/>
      </c>
      <c r="Q107" s="98" t="str">
        <f t="array" ref="Q107">IFERROR(INDEX(AOC_AS_NON_100L!$M$42:$M$61,SMALL(IF(AOC_AS_NON_100L!$M$42:$M$61&lt;&gt;"",ROW(AOC_AS_NON_100L!$M$42:$M$61)-ROW(AOC_AS_NON_100L!$M$42)+1),ROW()-102),1),"")</f>
        <v/>
      </c>
      <c r="R107" s="99" t="str">
        <v/>
      </c>
      <c r="S107" s="98" t="str">
        <f t="array" ref="S107">IFERROR(INDEX(AOC_AS_NON_100L!$M$62:$M$81,SMALL(IF(AOC_AS_NON_100L!$M$62:$M$81&lt;&gt;"",ROW(AOC_AS_NON_100L!$M$62:$M$81)-ROW(AOC_AS_NON_100L!$M$62)+1),ROW()-102),1),"")</f>
        <v/>
      </c>
      <c r="T107" s="99" t="str">
        <f t="array" ref="T107">IFERROR(INDEX(AOC_AS_NON_100L!$N$62:$N$81,SMALL(IF(AOC_AS_NON_100L!$N$62:$N$81&lt;&gt;"",ROW(AOC_AS_NON_100L!$N$62:$N$81)-ROW(AOC_AS_NON_100L!$N$62)+1),ROW()-102),1),"")</f>
        <v/>
      </c>
      <c r="U107" s="98" t="str">
        <f t="array" ref="U107">IFERROR(INDEX(AOC_AS_NON_100L!$M$82:$M$101,SMALL(IF(AOC_AS_NON_100L!$M$82:$M$101&lt;&gt;"",ROW(AOC_AS_NON_100L!$M$82:$M$101)-ROW(AOC_AS_NON_100L!$M$82)+1),ROW()-102),1),"")</f>
        <v/>
      </c>
      <c r="V107" s="100" t="str">
        <f t="array" ref="V107">IFERROR(INDEX(AOC_AS_NON_100L!$N$82:$N$101,SMALL(IF(AOC_AS_NON_100L!$N$82:$N$101&lt;&gt;"",ROW(AOC_AS_NON_100L!$N$82:$N$101)-ROW(AOC_AS_NON_100L!$N$82)+1),ROW()-102),1),"")</f>
        <v/>
      </c>
    </row>
    <row r="108" spans="1:22" ht="15" customHeight="1" x14ac:dyDescent="0.2">
      <c r="A108" s="37"/>
      <c r="B108" s="64"/>
      <c r="C108" s="65"/>
      <c r="D108" s="82" t="str">
        <f t="shared" si="5"/>
        <v xml:space="preserve"> 000</v>
      </c>
      <c r="E108" s="117"/>
      <c r="F108" s="117"/>
      <c r="G108" s="118"/>
      <c r="H108" s="66"/>
      <c r="I108" s="66"/>
      <c r="J108" s="58"/>
      <c r="K108" s="37"/>
      <c r="L108" s="95"/>
      <c r="M108" s="98" t="str">
        <v/>
      </c>
      <c r="N108" s="99" t="str">
        <f t="array" ref="N108">IFERROR(INDEX(AOC_AS_NON_100L!$N$2:$N$21,SMALL(IF(AOC_AS_NON_100L!$N$2:$N$21&lt;&gt;"",ROW(AOC_AS_NON_100L!$N$2:$N$21)-ROW(AOC_AS_NON_100L!$N$2)+1),ROW()-102),1),"")</f>
        <v/>
      </c>
      <c r="O108" s="98" t="str">
        <v/>
      </c>
      <c r="P108" s="99" t="str">
        <f t="array" ref="P108">IFERROR(INDEX(AOC_AS_NON_100L!$N$22:$N$41,SMALL(IF(AOC_AS_NON_100L!$N$22:$N$41&lt;&gt;"",ROW(AOC_AS_NON_100L!$N$22:$N$41)-ROW(AOC_AS_NON_100L!$N$22)+1),ROW()-102),1),"")</f>
        <v/>
      </c>
      <c r="Q108" s="98" t="str">
        <f t="array" ref="Q108">IFERROR(INDEX(AOC_AS_NON_100L!$M$42:$M$61,SMALL(IF(AOC_AS_NON_100L!$M$42:$M$61&lt;&gt;"",ROW(AOC_AS_NON_100L!$M$42:$M$61)-ROW(AOC_AS_NON_100L!$M$42)+1),ROW()-102),1),"")</f>
        <v/>
      </c>
      <c r="R108" s="99" t="str">
        <v/>
      </c>
      <c r="S108" s="98" t="str">
        <f t="array" ref="S108">IFERROR(INDEX(AOC_AS_NON_100L!$M$62:$M$81,SMALL(IF(AOC_AS_NON_100L!$M$62:$M$81&lt;&gt;"",ROW(AOC_AS_NON_100L!$M$62:$M$81)-ROW(AOC_AS_NON_100L!$M$62)+1),ROW()-102),1),"")</f>
        <v/>
      </c>
      <c r="T108" s="99" t="str">
        <f t="array" ref="T108">IFERROR(INDEX(AOC_AS_NON_100L!$N$62:$N$81,SMALL(IF(AOC_AS_NON_100L!$N$62:$N$81&lt;&gt;"",ROW(AOC_AS_NON_100L!$N$62:$N$81)-ROW(AOC_AS_NON_100L!$N$62)+1),ROW()-102),1),"")</f>
        <v/>
      </c>
      <c r="U108" s="98" t="str">
        <f t="array" ref="U108">IFERROR(INDEX(AOC_AS_NON_100L!$M$82:$M$101,SMALL(IF(AOC_AS_NON_100L!$M$82:$M$101&lt;&gt;"",ROW(AOC_AS_NON_100L!$M$82:$M$101)-ROW(AOC_AS_NON_100L!$M$82)+1),ROW()-102),1),"")</f>
        <v/>
      </c>
      <c r="V108" s="100" t="str">
        <f t="array" ref="V108">IFERROR(INDEX(AOC_AS_NON_100L!$N$82:$N$101,SMALL(IF(AOC_AS_NON_100L!$N$82:$N$101&lt;&gt;"",ROW(AOC_AS_NON_100L!$N$82:$N$101)-ROW(AOC_AS_NON_100L!$N$82)+1),ROW()-102),1),"")</f>
        <v/>
      </c>
    </row>
    <row r="109" spans="1:22" ht="15" customHeight="1" x14ac:dyDescent="0.2">
      <c r="A109" s="37"/>
      <c r="B109" s="59"/>
      <c r="C109" s="60"/>
      <c r="D109" s="83" t="str">
        <f t="shared" si="5"/>
        <v xml:space="preserve"> 000</v>
      </c>
      <c r="E109" s="119"/>
      <c r="F109" s="119"/>
      <c r="G109" s="120"/>
      <c r="H109" s="62"/>
      <c r="I109" s="62"/>
      <c r="J109" s="63"/>
      <c r="K109" s="37"/>
      <c r="L109" s="95"/>
      <c r="M109" s="98" t="str">
        <v/>
      </c>
      <c r="N109" s="99" t="str">
        <f t="array" ref="N109">IFERROR(INDEX(AOC_AS_NON_100L!$N$2:$N$21,SMALL(IF(AOC_AS_NON_100L!$N$2:$N$21&lt;&gt;"",ROW(AOC_AS_NON_100L!$N$2:$N$21)-ROW(AOC_AS_NON_100L!$N$2)+1),ROW()-102),1),"")</f>
        <v/>
      </c>
      <c r="O109" s="98" t="str">
        <v/>
      </c>
      <c r="P109" s="99" t="str">
        <f t="array" ref="P109">IFERROR(INDEX(AOC_AS_NON_100L!$N$22:$N$41,SMALL(IF(AOC_AS_NON_100L!$N$22:$N$41&lt;&gt;"",ROW(AOC_AS_NON_100L!$N$22:$N$41)-ROW(AOC_AS_NON_100L!$N$22)+1),ROW()-102),1),"")</f>
        <v/>
      </c>
      <c r="Q109" s="98" t="str">
        <f t="array" ref="Q109">IFERROR(INDEX(AOC_AS_NON_100L!$M$42:$M$61,SMALL(IF(AOC_AS_NON_100L!$M$42:$M$61&lt;&gt;"",ROW(AOC_AS_NON_100L!$M$42:$M$61)-ROW(AOC_AS_NON_100L!$M$42)+1),ROW()-102),1),"")</f>
        <v/>
      </c>
      <c r="R109" s="99" t="str">
        <v/>
      </c>
      <c r="S109" s="98" t="str">
        <f t="array" ref="S109">IFERROR(INDEX(AOC_AS_NON_100L!$M$62:$M$81,SMALL(IF(AOC_AS_NON_100L!$M$62:$M$81&lt;&gt;"",ROW(AOC_AS_NON_100L!$M$62:$M$81)-ROW(AOC_AS_NON_100L!$M$62)+1),ROW()-102),1),"")</f>
        <v/>
      </c>
      <c r="T109" s="99" t="str">
        <f t="array" ref="T109">IFERROR(INDEX(AOC_AS_NON_100L!$N$62:$N$81,SMALL(IF(AOC_AS_NON_100L!$N$62:$N$81&lt;&gt;"",ROW(AOC_AS_NON_100L!$N$62:$N$81)-ROW(AOC_AS_NON_100L!$N$62)+1),ROW()-102),1),"")</f>
        <v/>
      </c>
      <c r="U109" s="98" t="str">
        <f t="array" ref="U109">IFERROR(INDEX(AOC_AS_NON_100L!$M$82:$M$101,SMALL(IF(AOC_AS_NON_100L!$M$82:$M$101&lt;&gt;"",ROW(AOC_AS_NON_100L!$M$82:$M$101)-ROW(AOC_AS_NON_100L!$M$82)+1),ROW()-102),1),"")</f>
        <v/>
      </c>
      <c r="V109" s="100" t="str">
        <f t="array" ref="V109">IFERROR(INDEX(AOC_AS_NON_100L!$N$82:$N$101,SMALL(IF(AOC_AS_NON_100L!$N$82:$N$101&lt;&gt;"",ROW(AOC_AS_NON_100L!$N$82:$N$101)-ROW(AOC_AS_NON_100L!$N$82)+1),ROW()-102),1),"")</f>
        <v/>
      </c>
    </row>
    <row r="110" spans="1:22" ht="15" customHeight="1" x14ac:dyDescent="0.2">
      <c r="A110" s="37"/>
      <c r="B110" s="64"/>
      <c r="C110" s="65"/>
      <c r="D110" s="82" t="str">
        <f t="shared" si="5"/>
        <v xml:space="preserve"> 000</v>
      </c>
      <c r="E110" s="117"/>
      <c r="F110" s="117"/>
      <c r="G110" s="118"/>
      <c r="H110" s="66"/>
      <c r="I110" s="66"/>
      <c r="J110" s="58"/>
      <c r="K110" s="37"/>
      <c r="L110" s="95"/>
      <c r="M110" s="98" t="str">
        <v/>
      </c>
      <c r="N110" s="99" t="str">
        <f t="array" ref="N110">IFERROR(INDEX(AOC_AS_NON_100L!$N$2:$N$21,SMALL(IF(AOC_AS_NON_100L!$N$2:$N$21&lt;&gt;"",ROW(AOC_AS_NON_100L!$N$2:$N$21)-ROW(AOC_AS_NON_100L!$N$2)+1),ROW()-102),1),"")</f>
        <v/>
      </c>
      <c r="O110" s="98" t="str">
        <v/>
      </c>
      <c r="P110" s="99" t="str">
        <f t="array" ref="P110">IFERROR(INDEX(AOC_AS_NON_100L!$N$22:$N$41,SMALL(IF(AOC_AS_NON_100L!$N$22:$N$41&lt;&gt;"",ROW(AOC_AS_NON_100L!$N$22:$N$41)-ROW(AOC_AS_NON_100L!$N$22)+1),ROW()-102),1),"")</f>
        <v/>
      </c>
      <c r="Q110" s="98" t="str">
        <f t="array" ref="Q110">IFERROR(INDEX(AOC_AS_NON_100L!$M$42:$M$61,SMALL(IF(AOC_AS_NON_100L!$M$42:$M$61&lt;&gt;"",ROW(AOC_AS_NON_100L!$M$42:$M$61)-ROW(AOC_AS_NON_100L!$M$42)+1),ROW()-102),1),"")</f>
        <v/>
      </c>
      <c r="R110" s="99" t="str">
        <v/>
      </c>
      <c r="S110" s="98" t="str">
        <f t="array" ref="S110">IFERROR(INDEX(AOC_AS_NON_100L!$M$62:$M$81,SMALL(IF(AOC_AS_NON_100L!$M$62:$M$81&lt;&gt;"",ROW(AOC_AS_NON_100L!$M$62:$M$81)-ROW(AOC_AS_NON_100L!$M$62)+1),ROW()-102),1),"")</f>
        <v/>
      </c>
      <c r="T110" s="99" t="str">
        <f t="array" ref="T110">IFERROR(INDEX(AOC_AS_NON_100L!$N$62:$N$81,SMALL(IF(AOC_AS_NON_100L!$N$62:$N$81&lt;&gt;"",ROW(AOC_AS_NON_100L!$N$62:$N$81)-ROW(AOC_AS_NON_100L!$N$62)+1),ROW()-102),1),"")</f>
        <v/>
      </c>
      <c r="U110" s="98" t="str">
        <f t="array" ref="U110">IFERROR(INDEX(AOC_AS_NON_100L!$M$82:$M$101,SMALL(IF(AOC_AS_NON_100L!$M$82:$M$101&lt;&gt;"",ROW(AOC_AS_NON_100L!$M$82:$M$101)-ROW(AOC_AS_NON_100L!$M$82)+1),ROW()-102),1),"")</f>
        <v/>
      </c>
      <c r="V110" s="100" t="str">
        <f t="array" ref="V110">IFERROR(INDEX(AOC_AS_NON_100L!$N$82:$N$101,SMALL(IF(AOC_AS_NON_100L!$N$82:$N$101&lt;&gt;"",ROW(AOC_AS_NON_100L!$N$82:$N$101)-ROW(AOC_AS_NON_100L!$N$82)+1),ROW()-102),1),"")</f>
        <v/>
      </c>
    </row>
    <row r="111" spans="1:22" ht="15" customHeight="1" x14ac:dyDescent="0.2">
      <c r="A111" s="37"/>
      <c r="B111" s="59"/>
      <c r="C111" s="60"/>
      <c r="D111" s="83" t="str">
        <f t="shared" si="5"/>
        <v xml:space="preserve"> 000</v>
      </c>
      <c r="E111" s="119"/>
      <c r="F111" s="119"/>
      <c r="G111" s="120"/>
      <c r="H111" s="62"/>
      <c r="I111" s="62"/>
      <c r="J111" s="63"/>
      <c r="K111" s="37"/>
      <c r="L111" s="95"/>
      <c r="M111" s="98" t="str">
        <v/>
      </c>
      <c r="N111" s="99" t="str">
        <f t="array" ref="N111">IFERROR(INDEX(AOC_AS_NON_100L!$N$2:$N$21,SMALL(IF(AOC_AS_NON_100L!$N$2:$N$21&lt;&gt;"",ROW(AOC_AS_NON_100L!$N$2:$N$21)-ROW(AOC_AS_NON_100L!$N$2)+1),ROW()-102),1),"")</f>
        <v/>
      </c>
      <c r="O111" s="98" t="str">
        <v/>
      </c>
      <c r="P111" s="99" t="str">
        <f t="array" ref="P111">IFERROR(INDEX(AOC_AS_NON_100L!$N$22:$N$41,SMALL(IF(AOC_AS_NON_100L!$N$22:$N$41&lt;&gt;"",ROW(AOC_AS_NON_100L!$N$22:$N$41)-ROW(AOC_AS_NON_100L!$N$22)+1),ROW()-102),1),"")</f>
        <v/>
      </c>
      <c r="Q111" s="98" t="str">
        <f t="array" ref="Q111">IFERROR(INDEX(AOC_AS_NON_100L!$M$42:$M$61,SMALL(IF(AOC_AS_NON_100L!$M$42:$M$61&lt;&gt;"",ROW(AOC_AS_NON_100L!$M$42:$M$61)-ROW(AOC_AS_NON_100L!$M$42)+1),ROW()-102),1),"")</f>
        <v/>
      </c>
      <c r="R111" s="99" t="str">
        <v/>
      </c>
      <c r="S111" s="98" t="str">
        <f t="array" ref="S111">IFERROR(INDEX(AOC_AS_NON_100L!$M$62:$M$81,SMALL(IF(AOC_AS_NON_100L!$M$62:$M$81&lt;&gt;"",ROW(AOC_AS_NON_100L!$M$62:$M$81)-ROW(AOC_AS_NON_100L!$M$62)+1),ROW()-102),1),"")</f>
        <v/>
      </c>
      <c r="T111" s="99" t="str">
        <f t="array" ref="T111">IFERROR(INDEX(AOC_AS_NON_100L!$N$62:$N$81,SMALL(IF(AOC_AS_NON_100L!$N$62:$N$81&lt;&gt;"",ROW(AOC_AS_NON_100L!$N$62:$N$81)-ROW(AOC_AS_NON_100L!$N$62)+1),ROW()-102),1),"")</f>
        <v/>
      </c>
      <c r="U111" s="98" t="str">
        <f t="array" ref="U111">IFERROR(INDEX(AOC_AS_NON_100L!$M$82:$M$101,SMALL(IF(AOC_AS_NON_100L!$M$82:$M$101&lt;&gt;"",ROW(AOC_AS_NON_100L!$M$82:$M$101)-ROW(AOC_AS_NON_100L!$M$82)+1),ROW()-102),1),"")</f>
        <v/>
      </c>
      <c r="V111" s="100" t="str">
        <f t="array" ref="V111">IFERROR(INDEX(AOC_AS_NON_100L!$N$82:$N$101,SMALL(IF(AOC_AS_NON_100L!$N$82:$N$101&lt;&gt;"",ROW(AOC_AS_NON_100L!$N$82:$N$101)-ROW(AOC_AS_NON_100L!$N$82)+1),ROW()-102),1),"")</f>
        <v/>
      </c>
    </row>
    <row r="112" spans="1:22" ht="15" customHeight="1" x14ac:dyDescent="0.2">
      <c r="A112" s="37"/>
      <c r="B112" s="68"/>
      <c r="C112" s="69"/>
      <c r="D112" s="84" t="str">
        <f t="shared" si="5"/>
        <v xml:space="preserve"> 000</v>
      </c>
      <c r="E112" s="124"/>
      <c r="F112" s="124"/>
      <c r="G112" s="125"/>
      <c r="H112" s="71"/>
      <c r="I112" s="71"/>
      <c r="J112" s="72"/>
      <c r="K112" s="37"/>
      <c r="L112" s="95"/>
      <c r="M112" s="98" t="str">
        <v/>
      </c>
      <c r="N112" s="99" t="str">
        <f t="array" ref="N112">IFERROR(INDEX(AOC_AS_NON_100L!$N$2:$N$21,SMALL(IF(AOC_AS_NON_100L!$N$2:$N$21&lt;&gt;"",ROW(AOC_AS_NON_100L!$N$2:$N$21)-ROW(AOC_AS_NON_100L!$N$2)+1),ROW()-102),1),"")</f>
        <v/>
      </c>
      <c r="O112" s="98" t="str">
        <v/>
      </c>
      <c r="P112" s="99" t="str">
        <f t="array" ref="P112">IFERROR(INDEX(AOC_AS_NON_100L!$N$22:$N$41,SMALL(IF(AOC_AS_NON_100L!$N$22:$N$41&lt;&gt;"",ROW(AOC_AS_NON_100L!$N$22:$N$41)-ROW(AOC_AS_NON_100L!$N$22)+1),ROW()-102),1),"")</f>
        <v/>
      </c>
      <c r="Q112" s="98" t="str">
        <f t="array" ref="Q112">IFERROR(INDEX(AOC_AS_NON_100L!$M$42:$M$61,SMALL(IF(AOC_AS_NON_100L!$M$42:$M$61&lt;&gt;"",ROW(AOC_AS_NON_100L!$M$42:$M$61)-ROW(AOC_AS_NON_100L!$M$42)+1),ROW()-102),1),"")</f>
        <v/>
      </c>
      <c r="R112" s="99" t="str">
        <v/>
      </c>
      <c r="S112" s="98" t="str">
        <f t="array" ref="S112">IFERROR(INDEX(AOC_AS_NON_100L!$M$62:$M$81,SMALL(IF(AOC_AS_NON_100L!$M$62:$M$81&lt;&gt;"",ROW(AOC_AS_NON_100L!$M$62:$M$81)-ROW(AOC_AS_NON_100L!$M$62)+1),ROW()-102),1),"")</f>
        <v/>
      </c>
      <c r="T112" s="99" t="str">
        <f t="array" ref="T112">IFERROR(INDEX(AOC_AS_NON_100L!$N$62:$N$81,SMALL(IF(AOC_AS_NON_100L!$N$62:$N$81&lt;&gt;"",ROW(AOC_AS_NON_100L!$N$62:$N$81)-ROW(AOC_AS_NON_100L!$N$62)+1),ROW()-102),1),"")</f>
        <v/>
      </c>
      <c r="U112" s="98" t="str">
        <f t="array" ref="U112">IFERROR(INDEX(AOC_AS_NON_100L!$M$82:$M$101,SMALL(IF(AOC_AS_NON_100L!$M$82:$M$101&lt;&gt;"",ROW(AOC_AS_NON_100L!$M$82:$M$101)-ROW(AOC_AS_NON_100L!$M$82)+1),ROW()-102),1),"")</f>
        <v/>
      </c>
      <c r="V112" s="100" t="str">
        <f t="array" ref="V112">IFERROR(INDEX(AOC_AS_NON_100L!$N$82:$N$101,SMALL(IF(AOC_AS_NON_100L!$N$82:$N$101&lt;&gt;"",ROW(AOC_AS_NON_100L!$N$82:$N$101)-ROW(AOC_AS_NON_100L!$N$82)+1),ROW()-102),1),"")</f>
        <v/>
      </c>
    </row>
    <row r="113" spans="1:22" ht="15" customHeight="1" thickBot="1" x14ac:dyDescent="0.25">
      <c r="A113" s="37"/>
      <c r="B113" s="73"/>
      <c r="C113" s="74"/>
      <c r="D113" s="74"/>
      <c r="E113" s="74"/>
      <c r="F113" s="74" t="s">
        <v>198</v>
      </c>
      <c r="G113" s="74"/>
      <c r="H113" s="74">
        <f>SUM(H104:H112)</f>
        <v>0</v>
      </c>
      <c r="I113" s="74"/>
      <c r="J113" s="75"/>
      <c r="K113" s="37"/>
      <c r="L113" s="95"/>
      <c r="M113" s="98" t="str">
        <v/>
      </c>
      <c r="N113" s="99" t="str">
        <f t="array" ref="N113">IFERROR(INDEX(AOC_AS_NON_100L!$N$2:$N$21,SMALL(IF(AOC_AS_NON_100L!$N$2:$N$21&lt;&gt;"",ROW(AOC_AS_NON_100L!$N$2:$N$21)-ROW(AOC_AS_NON_100L!$N$2)+1),ROW()-102),1),"")</f>
        <v/>
      </c>
      <c r="O113" s="98" t="str">
        <v/>
      </c>
      <c r="P113" s="99" t="str">
        <f t="array" ref="P113">IFERROR(INDEX(AOC_AS_NON_100L!$N$22:$N$41,SMALL(IF(AOC_AS_NON_100L!$N$22:$N$41&lt;&gt;"",ROW(AOC_AS_NON_100L!$N$22:$N$41)-ROW(AOC_AS_NON_100L!$N$22)+1),ROW()-102),1),"")</f>
        <v/>
      </c>
      <c r="Q113" s="98" t="str">
        <f t="array" ref="Q113">IFERROR(INDEX(AOC_AS_NON_100L!$M$42:$M$61,SMALL(IF(AOC_AS_NON_100L!$M$42:$M$61&lt;&gt;"",ROW(AOC_AS_NON_100L!$M$42:$M$61)-ROW(AOC_AS_NON_100L!$M$42)+1),ROW()-102),1),"")</f>
        <v/>
      </c>
      <c r="R113" s="99" t="str">
        <v/>
      </c>
      <c r="S113" s="98" t="str">
        <f t="array" ref="S113">IFERROR(INDEX(AOC_AS_NON_100L!$M$62:$M$81,SMALL(IF(AOC_AS_NON_100L!$M$62:$M$81&lt;&gt;"",ROW(AOC_AS_NON_100L!$M$62:$M$81)-ROW(AOC_AS_NON_100L!$M$62)+1),ROW()-102),1),"")</f>
        <v/>
      </c>
      <c r="T113" s="99" t="str">
        <f t="array" ref="T113">IFERROR(INDEX(AOC_AS_NON_100L!$N$62:$N$81,SMALL(IF(AOC_AS_NON_100L!$N$62:$N$81&lt;&gt;"",ROW(AOC_AS_NON_100L!$N$62:$N$81)-ROW(AOC_AS_NON_100L!$N$62)+1),ROW()-102),1),"")</f>
        <v/>
      </c>
      <c r="U113" s="98" t="str">
        <f t="array" ref="U113">IFERROR(INDEX(AOC_AS_NON_100L!$M$82:$M$101,SMALL(IF(AOC_AS_NON_100L!$M$82:$M$101&lt;&gt;"",ROW(AOC_AS_NON_100L!$M$82:$M$101)-ROW(AOC_AS_NON_100L!$M$82)+1),ROW()-102),1),"")</f>
        <v/>
      </c>
      <c r="V113" s="100" t="str">
        <f t="array" ref="V113">IFERROR(INDEX(AOC_AS_NON_100L!$N$82:$N$101,SMALL(IF(AOC_AS_NON_100L!$N$82:$N$101&lt;&gt;"",ROW(AOC_AS_NON_100L!$N$82:$N$101)-ROW(AOC_AS_NON_100L!$N$82)+1),ROW()-102),1),"")</f>
        <v/>
      </c>
    </row>
    <row r="114" spans="1:22" ht="15" customHeight="1" x14ac:dyDescent="0.2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95"/>
      <c r="M114" s="98" t="str">
        <v/>
      </c>
      <c r="N114" s="99" t="str">
        <f t="array" ref="N114">IFERROR(INDEX(AOC_AS_NON_100L!$N$2:$N$21,SMALL(IF(AOC_AS_NON_100L!$N$2:$N$21&lt;&gt;"",ROW(AOC_AS_NON_100L!$N$2:$N$21)-ROW(AOC_AS_NON_100L!$N$2)+1),ROW()-102),1),"")</f>
        <v/>
      </c>
      <c r="O114" s="98" t="str">
        <v/>
      </c>
      <c r="P114" s="99" t="str">
        <f t="array" ref="P114">IFERROR(INDEX(AOC_AS_NON_100L!$N$22:$N$41,SMALL(IF(AOC_AS_NON_100L!$N$22:$N$41&lt;&gt;"",ROW(AOC_AS_NON_100L!$N$22:$N$41)-ROW(AOC_AS_NON_100L!$N$22)+1),ROW()-102),1),"")</f>
        <v/>
      </c>
      <c r="Q114" s="98" t="str">
        <f t="array" ref="Q114">IFERROR(INDEX(AOC_AS_NON_100L!$M$42:$M$61,SMALL(IF(AOC_AS_NON_100L!$M$42:$M$61&lt;&gt;"",ROW(AOC_AS_NON_100L!$M$42:$M$61)-ROW(AOC_AS_NON_100L!$M$42)+1),ROW()-102),1),"")</f>
        <v/>
      </c>
      <c r="R114" s="99" t="str">
        <v/>
      </c>
      <c r="S114" s="98" t="str">
        <f t="array" ref="S114">IFERROR(INDEX(AOC_AS_NON_100L!$M$62:$M$81,SMALL(IF(AOC_AS_NON_100L!$M$62:$M$81&lt;&gt;"",ROW(AOC_AS_NON_100L!$M$62:$M$81)-ROW(AOC_AS_NON_100L!$M$62)+1),ROW()-102),1),"")</f>
        <v/>
      </c>
      <c r="T114" s="99" t="str">
        <f t="array" ref="T114">IFERROR(INDEX(AOC_AS_NON_100L!$N$62:$N$81,SMALL(IF(AOC_AS_NON_100L!$N$62:$N$81&lt;&gt;"",ROW(AOC_AS_NON_100L!$N$62:$N$81)-ROW(AOC_AS_NON_100L!$N$62)+1),ROW()-102),1),"")</f>
        <v/>
      </c>
      <c r="U114" s="98" t="str">
        <f t="array" ref="U114">IFERROR(INDEX(AOC_AS_NON_100L!$M$82:$M$101,SMALL(IF(AOC_AS_NON_100L!$M$82:$M$101&lt;&gt;"",ROW(AOC_AS_NON_100L!$M$82:$M$101)-ROW(AOC_AS_NON_100L!$M$82)+1),ROW()-102),1),"")</f>
        <v/>
      </c>
      <c r="V114" s="100" t="str">
        <f t="array" ref="V114">IFERROR(INDEX(AOC_AS_NON_100L!$N$82:$N$101,SMALL(IF(AOC_AS_NON_100L!$N$82:$N$101&lt;&gt;"",ROW(AOC_AS_NON_100L!$N$82:$N$101)-ROW(AOC_AS_NON_100L!$N$82)+1),ROW()-102),1),"")</f>
        <v/>
      </c>
    </row>
    <row r="115" spans="1:22" ht="15" customHeight="1" thickBot="1" x14ac:dyDescent="0.25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95"/>
      <c r="M115" s="98" t="str">
        <v/>
      </c>
      <c r="N115" s="99" t="str">
        <f t="array" ref="N115">IFERROR(INDEX(AOC_AS_NON_100L!$N$2:$N$21,SMALL(IF(AOC_AS_NON_100L!$N$2:$N$21&lt;&gt;"",ROW(AOC_AS_NON_100L!$N$2:$N$21)-ROW(AOC_AS_NON_100L!$N$2)+1),ROW()-102),1),"")</f>
        <v/>
      </c>
      <c r="O115" s="98" t="str">
        <v/>
      </c>
      <c r="P115" s="99" t="str">
        <f t="array" ref="P115">IFERROR(INDEX(AOC_AS_NON_100L!$N$22:$N$41,SMALL(IF(AOC_AS_NON_100L!$N$22:$N$41&lt;&gt;"",ROW(AOC_AS_NON_100L!$N$22:$N$41)-ROW(AOC_AS_NON_100L!$N$22)+1),ROW()-102),1),"")</f>
        <v/>
      </c>
      <c r="Q115" s="98" t="str">
        <f t="array" ref="Q115">IFERROR(INDEX(AOC_AS_NON_100L!$M$42:$M$61,SMALL(IF(AOC_AS_NON_100L!$M$42:$M$61&lt;&gt;"",ROW(AOC_AS_NON_100L!$M$42:$M$61)-ROW(AOC_AS_NON_100L!$M$42)+1),ROW()-102),1),"")</f>
        <v/>
      </c>
      <c r="R115" s="99" t="str">
        <v/>
      </c>
      <c r="S115" s="98" t="str">
        <f t="array" ref="S115">IFERROR(INDEX(AOC_AS_NON_100L!$M$62:$M$81,SMALL(IF(AOC_AS_NON_100L!$M$62:$M$81&lt;&gt;"",ROW(AOC_AS_NON_100L!$M$62:$M$81)-ROW(AOC_AS_NON_100L!$M$62)+1),ROW()-102),1),"")</f>
        <v/>
      </c>
      <c r="T115" s="99" t="str">
        <f t="array" ref="T115">IFERROR(INDEX(AOC_AS_NON_100L!$N$62:$N$81,SMALL(IF(AOC_AS_NON_100L!$N$62:$N$81&lt;&gt;"",ROW(AOC_AS_NON_100L!$N$62:$N$81)-ROW(AOC_AS_NON_100L!$N$62)+1),ROW()-102),1),"")</f>
        <v/>
      </c>
      <c r="U115" s="98" t="str">
        <f t="array" ref="U115">IFERROR(INDEX(AOC_AS_NON_100L!$M$82:$M$101,SMALL(IF(AOC_AS_NON_100L!$M$82:$M$101&lt;&gt;"",ROW(AOC_AS_NON_100L!$M$82:$M$101)-ROW(AOC_AS_NON_100L!$M$82)+1),ROW()-102),1),"")</f>
        <v/>
      </c>
      <c r="V115" s="100" t="str">
        <f t="array" ref="V115">IFERROR(INDEX(AOC_AS_NON_100L!$N$82:$N$101,SMALL(IF(AOC_AS_NON_100L!$N$82:$N$101&lt;&gt;"",ROW(AOC_AS_NON_100L!$N$82:$N$101)-ROW(AOC_AS_NON_100L!$N$82)+1),ROW()-102),1),"")</f>
        <v/>
      </c>
    </row>
    <row r="116" spans="1:22" ht="15" customHeight="1" x14ac:dyDescent="0.2">
      <c r="A116" s="37"/>
      <c r="B116" s="76" t="s">
        <v>5</v>
      </c>
      <c r="C116" s="77"/>
      <c r="D116" s="77"/>
      <c r="E116" s="77"/>
      <c r="F116" s="79"/>
      <c r="G116" s="79"/>
      <c r="H116" s="79"/>
      <c r="I116" s="79"/>
      <c r="J116" s="80"/>
      <c r="K116" s="37"/>
      <c r="L116" s="95"/>
      <c r="M116" s="98" t="str">
        <v/>
      </c>
      <c r="N116" s="99" t="str">
        <f t="array" ref="N116">IFERROR(INDEX(AOC_AS_NON_100L!$N$2:$N$21,SMALL(IF(AOC_AS_NON_100L!$N$2:$N$21&lt;&gt;"",ROW(AOC_AS_NON_100L!$N$2:$N$21)-ROW(AOC_AS_NON_100L!$N$2)+1),ROW()-102),1),"")</f>
        <v/>
      </c>
      <c r="O116" s="98" t="str">
        <v/>
      </c>
      <c r="P116" s="99" t="str">
        <f t="array" ref="P116">IFERROR(INDEX(AOC_AS_NON_100L!$N$22:$N$41,SMALL(IF(AOC_AS_NON_100L!$N$22:$N$41&lt;&gt;"",ROW(AOC_AS_NON_100L!$N$22:$N$41)-ROW(AOC_AS_NON_100L!$N$22)+1),ROW()-102),1),"")</f>
        <v/>
      </c>
      <c r="Q116" s="98" t="str">
        <f t="array" ref="Q116">IFERROR(INDEX(AOC_AS_NON_100L!$M$42:$M$61,SMALL(IF(AOC_AS_NON_100L!$M$42:$M$61&lt;&gt;"",ROW(AOC_AS_NON_100L!$M$42:$M$61)-ROW(AOC_AS_NON_100L!$M$42)+1),ROW()-102),1),"")</f>
        <v/>
      </c>
      <c r="R116" s="99" t="str">
        <v/>
      </c>
      <c r="S116" s="98" t="str">
        <f t="array" ref="S116">IFERROR(INDEX(AOC_AS_NON_100L!$M$62:$M$81,SMALL(IF(AOC_AS_NON_100L!$M$62:$M$81&lt;&gt;"",ROW(AOC_AS_NON_100L!$M$62:$M$81)-ROW(AOC_AS_NON_100L!$M$62)+1),ROW()-102),1),"")</f>
        <v/>
      </c>
      <c r="T116" s="99" t="str">
        <f t="array" ref="T116">IFERROR(INDEX(AOC_AS_NON_100L!$N$62:$N$81,SMALL(IF(AOC_AS_NON_100L!$N$62:$N$81&lt;&gt;"",ROW(AOC_AS_NON_100L!$N$62:$N$81)-ROW(AOC_AS_NON_100L!$N$62)+1),ROW()-102),1),"")</f>
        <v/>
      </c>
      <c r="U116" s="98" t="str">
        <f t="array" ref="U116">IFERROR(INDEX(AOC_AS_NON_100L!$M$82:$M$101,SMALL(IF(AOC_AS_NON_100L!$M$82:$M$101&lt;&gt;"",ROW(AOC_AS_NON_100L!$M$82:$M$101)-ROW(AOC_AS_NON_100L!$M$82)+1),ROW()-102),1),"")</f>
        <v/>
      </c>
      <c r="V116" s="100" t="str">
        <f t="array" ref="V116">IFERROR(INDEX(AOC_AS_NON_100L!$N$82:$N$101,SMALL(IF(AOC_AS_NON_100L!$N$82:$N$101&lt;&gt;"",ROW(AOC_AS_NON_100L!$N$82:$N$101)-ROW(AOC_AS_NON_100L!$N$82)+1),ROW()-102),1),"")</f>
        <v/>
      </c>
    </row>
    <row r="117" spans="1:22" ht="15" customHeight="1" thickBot="1" x14ac:dyDescent="0.25">
      <c r="A117" s="37"/>
      <c r="B117" s="49" t="s">
        <v>177</v>
      </c>
      <c r="C117" s="50" t="s">
        <v>6</v>
      </c>
      <c r="D117" s="50"/>
      <c r="E117" s="123" t="s">
        <v>154</v>
      </c>
      <c r="F117" s="123"/>
      <c r="G117" s="123"/>
      <c r="H117" s="50" t="s">
        <v>199</v>
      </c>
      <c r="I117" s="50" t="s">
        <v>155</v>
      </c>
      <c r="J117" s="81" t="s">
        <v>155</v>
      </c>
      <c r="K117" s="37"/>
      <c r="L117" s="95"/>
      <c r="M117" s="98" t="str">
        <v/>
      </c>
      <c r="N117" s="99" t="str">
        <f t="array" ref="N117">IFERROR(INDEX(AOC_AS_NON_100L!$N$2:$N$21,SMALL(IF(AOC_AS_NON_100L!$N$2:$N$21&lt;&gt;"",ROW(AOC_AS_NON_100L!$N$2:$N$21)-ROW(AOC_AS_NON_100L!$N$2)+1),ROW()-102),1),"")</f>
        <v/>
      </c>
      <c r="O117" s="98" t="str">
        <v/>
      </c>
      <c r="P117" s="99" t="str">
        <f t="array" ref="P117">IFERROR(INDEX(AOC_AS_NON_100L!$N$22:$N$41,SMALL(IF(AOC_AS_NON_100L!$N$22:$N$41&lt;&gt;"",ROW(AOC_AS_NON_100L!$N$22:$N$41)-ROW(AOC_AS_NON_100L!$N$22)+1),ROW()-102),1),"")</f>
        <v/>
      </c>
      <c r="Q117" s="98" t="str">
        <f t="array" ref="Q117">IFERROR(INDEX(AOC_AS_NON_100L!$M$42:$M$61,SMALL(IF(AOC_AS_NON_100L!$M$42:$M$61&lt;&gt;"",ROW(AOC_AS_NON_100L!$M$42:$M$61)-ROW(AOC_AS_NON_100L!$M$42)+1),ROW()-102),1),"")</f>
        <v/>
      </c>
      <c r="R117" s="99" t="str">
        <v/>
      </c>
      <c r="S117" s="98" t="str">
        <f t="array" ref="S117">IFERROR(INDEX(AOC_AS_NON_100L!$M$62:$M$81,SMALL(IF(AOC_AS_NON_100L!$M$62:$M$81&lt;&gt;"",ROW(AOC_AS_NON_100L!$M$62:$M$81)-ROW(AOC_AS_NON_100L!$M$62)+1),ROW()-102),1),"")</f>
        <v/>
      </c>
      <c r="T117" s="99" t="str">
        <f t="array" ref="T117">IFERROR(INDEX(AOC_AS_NON_100L!$N$62:$N$81,SMALL(IF(AOC_AS_NON_100L!$N$62:$N$81&lt;&gt;"",ROW(AOC_AS_NON_100L!$N$62:$N$81)-ROW(AOC_AS_NON_100L!$N$62)+1),ROW()-102),1),"")</f>
        <v/>
      </c>
      <c r="U117" s="98" t="str">
        <f t="array" ref="U117">IFERROR(INDEX(AOC_AS_NON_100L!$M$82:$M$101,SMALL(IF(AOC_AS_NON_100L!$M$82:$M$101&lt;&gt;"",ROW(AOC_AS_NON_100L!$M$82:$M$101)-ROW(AOC_AS_NON_100L!$M$82)+1),ROW()-102),1),"")</f>
        <v/>
      </c>
      <c r="V117" s="100" t="str">
        <f t="array" ref="V117">IFERROR(INDEX(AOC_AS_NON_100L!$N$82:$N$101,SMALL(IF(AOC_AS_NON_100L!$N$82:$N$101&lt;&gt;"",ROW(AOC_AS_NON_100L!$N$82:$N$101)-ROW(AOC_AS_NON_100L!$N$82)+1),ROW()-102),1),"")</f>
        <v/>
      </c>
    </row>
    <row r="118" spans="1:22" ht="15" customHeight="1" thickTop="1" x14ac:dyDescent="0.2">
      <c r="A118" s="37"/>
      <c r="B118" s="54"/>
      <c r="C118" s="55"/>
      <c r="D118" s="82" t="str">
        <f>CONCATENATE(B118," ",TEXT(C118,"000"))</f>
        <v xml:space="preserve"> 000</v>
      </c>
      <c r="E118" s="121"/>
      <c r="F118" s="121"/>
      <c r="G118" s="122"/>
      <c r="H118" s="57"/>
      <c r="I118" s="57"/>
      <c r="J118" s="58"/>
      <c r="K118" s="37"/>
      <c r="L118" s="95"/>
      <c r="M118" s="98" t="str">
        <v/>
      </c>
      <c r="N118" s="99" t="str">
        <f t="array" ref="N118">IFERROR(INDEX(AOC_AS_NON_100L!$N$2:$N$21,SMALL(IF(AOC_AS_NON_100L!$N$2:$N$21&lt;&gt;"",ROW(AOC_AS_NON_100L!$N$2:$N$21)-ROW(AOC_AS_NON_100L!$N$2)+1),ROW()-102),1),"")</f>
        <v/>
      </c>
      <c r="O118" s="98" t="str">
        <v/>
      </c>
      <c r="P118" s="99" t="str">
        <f t="array" ref="P118">IFERROR(INDEX(AOC_AS_NON_100L!$N$22:$N$41,SMALL(IF(AOC_AS_NON_100L!$N$22:$N$41&lt;&gt;"",ROW(AOC_AS_NON_100L!$N$22:$N$41)-ROW(AOC_AS_NON_100L!$N$22)+1),ROW()-102),1),"")</f>
        <v/>
      </c>
      <c r="Q118" s="98" t="str">
        <f t="array" ref="Q118">IFERROR(INDEX(AOC_AS_NON_100L!$M$42:$M$61,SMALL(IF(AOC_AS_NON_100L!$M$42:$M$61&lt;&gt;"",ROW(AOC_AS_NON_100L!$M$42:$M$61)-ROW(AOC_AS_NON_100L!$M$42)+1),ROW()-102),1),"")</f>
        <v/>
      </c>
      <c r="R118" s="99" t="str">
        <v/>
      </c>
      <c r="S118" s="98" t="str">
        <f t="array" ref="S118">IFERROR(INDEX(AOC_AS_NON_100L!$M$62:$M$81,SMALL(IF(AOC_AS_NON_100L!$M$62:$M$81&lt;&gt;"",ROW(AOC_AS_NON_100L!$M$62:$M$81)-ROW(AOC_AS_NON_100L!$M$62)+1),ROW()-102),1),"")</f>
        <v/>
      </c>
      <c r="T118" s="99" t="str">
        <f t="array" ref="T118">IFERROR(INDEX(AOC_AS_NON_100L!$N$62:$N$81,SMALL(IF(AOC_AS_NON_100L!$N$62:$N$81&lt;&gt;"",ROW(AOC_AS_NON_100L!$N$62:$N$81)-ROW(AOC_AS_NON_100L!$N$62)+1),ROW()-102),1),"")</f>
        <v/>
      </c>
      <c r="U118" s="98" t="str">
        <f t="array" ref="U118">IFERROR(INDEX(AOC_AS_NON_100L!$M$82:$M$101,SMALL(IF(AOC_AS_NON_100L!$M$82:$M$101&lt;&gt;"",ROW(AOC_AS_NON_100L!$M$82:$M$101)-ROW(AOC_AS_NON_100L!$M$82)+1),ROW()-102),1),"")</f>
        <v/>
      </c>
      <c r="V118" s="100" t="str">
        <f t="array" ref="V118">IFERROR(INDEX(AOC_AS_NON_100L!$N$82:$N$101,SMALL(IF(AOC_AS_NON_100L!$N$82:$N$101&lt;&gt;"",ROW(AOC_AS_NON_100L!$N$82:$N$101)-ROW(AOC_AS_NON_100L!$N$82)+1),ROW()-102),1),"")</f>
        <v/>
      </c>
    </row>
    <row r="119" spans="1:22" ht="15" customHeight="1" x14ac:dyDescent="0.2">
      <c r="A119" s="37"/>
      <c r="B119" s="59"/>
      <c r="C119" s="60"/>
      <c r="D119" s="83" t="str">
        <f t="shared" ref="D119:D126" si="6">CONCATENATE(B119," ",TEXT(C119,"000"))</f>
        <v xml:space="preserve"> 000</v>
      </c>
      <c r="E119" s="119"/>
      <c r="F119" s="119"/>
      <c r="G119" s="120"/>
      <c r="H119" s="62"/>
      <c r="I119" s="62"/>
      <c r="J119" s="63"/>
      <c r="K119" s="37"/>
      <c r="L119" s="95"/>
      <c r="M119" s="98" t="str">
        <v/>
      </c>
      <c r="N119" s="99" t="str">
        <f t="array" ref="N119">IFERROR(INDEX(AOC_AS_NON_100L!$N$2:$N$21,SMALL(IF(AOC_AS_NON_100L!$N$2:$N$21&lt;&gt;"",ROW(AOC_AS_NON_100L!$N$2:$N$21)-ROW(AOC_AS_NON_100L!$N$2)+1),ROW()-102),1),"")</f>
        <v/>
      </c>
      <c r="O119" s="98" t="str">
        <v/>
      </c>
      <c r="P119" s="99" t="str">
        <f t="array" ref="P119">IFERROR(INDEX(AOC_AS_NON_100L!$N$22:$N$41,SMALL(IF(AOC_AS_NON_100L!$N$22:$N$41&lt;&gt;"",ROW(AOC_AS_NON_100L!$N$22:$N$41)-ROW(AOC_AS_NON_100L!$N$22)+1),ROW()-102),1),"")</f>
        <v/>
      </c>
      <c r="Q119" s="98" t="str">
        <f t="array" ref="Q119">IFERROR(INDEX(AOC_AS_NON_100L!$M$42:$M$61,SMALL(IF(AOC_AS_NON_100L!$M$42:$M$61&lt;&gt;"",ROW(AOC_AS_NON_100L!$M$42:$M$61)-ROW(AOC_AS_NON_100L!$M$42)+1),ROW()-102),1),"")</f>
        <v/>
      </c>
      <c r="R119" s="99" t="str">
        <v/>
      </c>
      <c r="S119" s="98" t="str">
        <f t="array" ref="S119">IFERROR(INDEX(AOC_AS_NON_100L!$M$62:$M$81,SMALL(IF(AOC_AS_NON_100L!$M$62:$M$81&lt;&gt;"",ROW(AOC_AS_NON_100L!$M$62:$M$81)-ROW(AOC_AS_NON_100L!$M$62)+1),ROW()-102),1),"")</f>
        <v/>
      </c>
      <c r="T119" s="99" t="str">
        <f t="array" ref="T119">IFERROR(INDEX(AOC_AS_NON_100L!$N$62:$N$81,SMALL(IF(AOC_AS_NON_100L!$N$62:$N$81&lt;&gt;"",ROW(AOC_AS_NON_100L!$N$62:$N$81)-ROW(AOC_AS_NON_100L!$N$62)+1),ROW()-102),1),"")</f>
        <v/>
      </c>
      <c r="U119" s="98" t="str">
        <f t="array" ref="U119">IFERROR(INDEX(AOC_AS_NON_100L!$M$82:$M$101,SMALL(IF(AOC_AS_NON_100L!$M$82:$M$101&lt;&gt;"",ROW(AOC_AS_NON_100L!$M$82:$M$101)-ROW(AOC_AS_NON_100L!$M$82)+1),ROW()-102),1),"")</f>
        <v/>
      </c>
      <c r="V119" s="100" t="str">
        <f t="array" ref="V119">IFERROR(INDEX(AOC_AS_NON_100L!$N$82:$N$101,SMALL(IF(AOC_AS_NON_100L!$N$82:$N$101&lt;&gt;"",ROW(AOC_AS_NON_100L!$N$82:$N$101)-ROW(AOC_AS_NON_100L!$N$82)+1),ROW()-102),1),"")</f>
        <v/>
      </c>
    </row>
    <row r="120" spans="1:22" ht="15" customHeight="1" x14ac:dyDescent="0.2">
      <c r="A120" s="37"/>
      <c r="B120" s="64"/>
      <c r="C120" s="65"/>
      <c r="D120" s="82" t="str">
        <f t="shared" si="6"/>
        <v xml:space="preserve"> 000</v>
      </c>
      <c r="E120" s="117"/>
      <c r="F120" s="117"/>
      <c r="G120" s="118"/>
      <c r="H120" s="66"/>
      <c r="I120" s="66"/>
      <c r="J120" s="58"/>
      <c r="K120" s="37"/>
      <c r="L120" s="95"/>
      <c r="M120" s="98" t="str">
        <v/>
      </c>
      <c r="N120" s="99" t="str">
        <f t="array" ref="N120">IFERROR(INDEX(AOC_AS_NON_100L!$N$2:$N$21,SMALL(IF(AOC_AS_NON_100L!$N$2:$N$21&lt;&gt;"",ROW(AOC_AS_NON_100L!$N$2:$N$21)-ROW(AOC_AS_NON_100L!$N$2)+1),ROW()-102),1),"")</f>
        <v/>
      </c>
      <c r="O120" s="98" t="str">
        <v/>
      </c>
      <c r="P120" s="99" t="str">
        <f t="array" ref="P120">IFERROR(INDEX(AOC_AS_NON_100L!$N$22:$N$41,SMALL(IF(AOC_AS_NON_100L!$N$22:$N$41&lt;&gt;"",ROW(AOC_AS_NON_100L!$N$22:$N$41)-ROW(AOC_AS_NON_100L!$N$22)+1),ROW()-102),1),"")</f>
        <v/>
      </c>
      <c r="Q120" s="98" t="str">
        <f t="array" ref="Q120">IFERROR(INDEX(AOC_AS_NON_100L!$M$42:$M$61,SMALL(IF(AOC_AS_NON_100L!$M$42:$M$61&lt;&gt;"",ROW(AOC_AS_NON_100L!$M$42:$M$61)-ROW(AOC_AS_NON_100L!$M$42)+1),ROW()-102),1),"")</f>
        <v/>
      </c>
      <c r="R120" s="99" t="str">
        <v/>
      </c>
      <c r="S120" s="98" t="str">
        <f t="array" ref="S120">IFERROR(INDEX(AOC_AS_NON_100L!$M$62:$M$81,SMALL(IF(AOC_AS_NON_100L!$M$62:$M$81&lt;&gt;"",ROW(AOC_AS_NON_100L!$M$62:$M$81)-ROW(AOC_AS_NON_100L!$M$62)+1),ROW()-102),1),"")</f>
        <v/>
      </c>
      <c r="T120" s="99" t="str">
        <f t="array" ref="T120">IFERROR(INDEX(AOC_AS_NON_100L!$N$62:$N$81,SMALL(IF(AOC_AS_NON_100L!$N$62:$N$81&lt;&gt;"",ROW(AOC_AS_NON_100L!$N$62:$N$81)-ROW(AOC_AS_NON_100L!$N$62)+1),ROW()-102),1),"")</f>
        <v/>
      </c>
      <c r="U120" s="98" t="str">
        <f t="array" ref="U120">IFERROR(INDEX(AOC_AS_NON_100L!$M$82:$M$101,SMALL(IF(AOC_AS_NON_100L!$M$82:$M$101&lt;&gt;"",ROW(AOC_AS_NON_100L!$M$82:$M$101)-ROW(AOC_AS_NON_100L!$M$82)+1),ROW()-102),1),"")</f>
        <v/>
      </c>
      <c r="V120" s="100" t="str">
        <f t="array" ref="V120">IFERROR(INDEX(AOC_AS_NON_100L!$N$82:$N$101,SMALL(IF(AOC_AS_NON_100L!$N$82:$N$101&lt;&gt;"",ROW(AOC_AS_NON_100L!$N$82:$N$101)-ROW(AOC_AS_NON_100L!$N$82)+1),ROW()-102),1),"")</f>
        <v/>
      </c>
    </row>
    <row r="121" spans="1:22" ht="15" customHeight="1" x14ac:dyDescent="0.2">
      <c r="A121" s="37"/>
      <c r="B121" s="59"/>
      <c r="C121" s="60"/>
      <c r="D121" s="83" t="str">
        <f t="shared" si="6"/>
        <v xml:space="preserve"> 000</v>
      </c>
      <c r="E121" s="119"/>
      <c r="F121" s="119"/>
      <c r="G121" s="120"/>
      <c r="H121" s="62"/>
      <c r="I121" s="62"/>
      <c r="J121" s="63"/>
      <c r="K121" s="37"/>
      <c r="L121" s="95"/>
      <c r="M121" s="98" t="str">
        <v/>
      </c>
      <c r="N121" s="99" t="str">
        <f t="array" ref="N121">IFERROR(INDEX(AOC_AS_NON_100L!$N$2:$N$21,SMALL(IF(AOC_AS_NON_100L!$N$2:$N$21&lt;&gt;"",ROW(AOC_AS_NON_100L!$N$2:$N$21)-ROW(AOC_AS_NON_100L!$N$2)+1),ROW()-102),1),"")</f>
        <v/>
      </c>
      <c r="O121" s="98" t="str">
        <v/>
      </c>
      <c r="P121" s="99" t="str">
        <f t="array" ref="P121">IFERROR(INDEX(AOC_AS_NON_100L!$N$22:$N$41,SMALL(IF(AOC_AS_NON_100L!$N$22:$N$41&lt;&gt;"",ROW(AOC_AS_NON_100L!$N$22:$N$41)-ROW(AOC_AS_NON_100L!$N$22)+1),ROW()-102),1),"")</f>
        <v/>
      </c>
      <c r="Q121" s="98" t="str">
        <f t="array" ref="Q121">IFERROR(INDEX(AOC_AS_NON_100L!$M$42:$M$61,SMALL(IF(AOC_AS_NON_100L!$M$42:$M$61&lt;&gt;"",ROW(AOC_AS_NON_100L!$M$42:$M$61)-ROW(AOC_AS_NON_100L!$M$42)+1),ROW()-102),1),"")</f>
        <v/>
      </c>
      <c r="R121" s="99" t="str">
        <v/>
      </c>
      <c r="S121" s="98" t="str">
        <f t="array" ref="S121">IFERROR(INDEX(AOC_AS_NON_100L!$M$62:$M$81,SMALL(IF(AOC_AS_NON_100L!$M$62:$M$81&lt;&gt;"",ROW(AOC_AS_NON_100L!$M$62:$M$81)-ROW(AOC_AS_NON_100L!$M$62)+1),ROW()-102),1),"")</f>
        <v/>
      </c>
      <c r="T121" s="99" t="str">
        <f t="array" ref="T121">IFERROR(INDEX(AOC_AS_NON_100L!$N$62:$N$81,SMALL(IF(AOC_AS_NON_100L!$N$62:$N$81&lt;&gt;"",ROW(AOC_AS_NON_100L!$N$62:$N$81)-ROW(AOC_AS_NON_100L!$N$62)+1),ROW()-102),1),"")</f>
        <v/>
      </c>
      <c r="U121" s="98" t="str">
        <f t="array" ref="U121">IFERROR(INDEX(AOC_AS_NON_100L!$M$82:$M$101,SMALL(IF(AOC_AS_NON_100L!$M$82:$M$101&lt;&gt;"",ROW(AOC_AS_NON_100L!$M$82:$M$101)-ROW(AOC_AS_NON_100L!$M$82)+1),ROW()-102),1),"")</f>
        <v/>
      </c>
      <c r="V121" s="100" t="str">
        <f t="array" ref="V121">IFERROR(INDEX(AOC_AS_NON_100L!$N$82:$N$101,SMALL(IF(AOC_AS_NON_100L!$N$82:$N$101&lt;&gt;"",ROW(AOC_AS_NON_100L!$N$82:$N$101)-ROW(AOC_AS_NON_100L!$N$82)+1),ROW()-102),1),"")</f>
        <v/>
      </c>
    </row>
    <row r="122" spans="1:22" ht="15" customHeight="1" x14ac:dyDescent="0.2">
      <c r="A122" s="37"/>
      <c r="B122" s="64"/>
      <c r="C122" s="65"/>
      <c r="D122" s="82" t="str">
        <f t="shared" si="6"/>
        <v xml:space="preserve"> 000</v>
      </c>
      <c r="E122" s="117"/>
      <c r="F122" s="117"/>
      <c r="G122" s="118"/>
      <c r="H122" s="66"/>
      <c r="I122" s="66"/>
      <c r="J122" s="58"/>
      <c r="K122" s="37"/>
      <c r="L122" s="95"/>
      <c r="M122" s="98" t="str">
        <v/>
      </c>
      <c r="N122" s="99" t="str">
        <f t="array" ref="N122">IFERROR(INDEX(AOC_AS_NON_100L!$N$2:$N$21,SMALL(IF(AOC_AS_NON_100L!$N$2:$N$21&lt;&gt;"",ROW(AOC_AS_NON_100L!$N$2:$N$21)-ROW(AOC_AS_NON_100L!$N$2)+1),ROW()-102),1),"")</f>
        <v/>
      </c>
      <c r="O122" s="98" t="str">
        <v/>
      </c>
      <c r="P122" s="99" t="str">
        <f t="array" ref="P122">IFERROR(INDEX(AOC_AS_NON_100L!$N$22:$N$41,SMALL(IF(AOC_AS_NON_100L!$N$22:$N$41&lt;&gt;"",ROW(AOC_AS_NON_100L!$N$22:$N$41)-ROW(AOC_AS_NON_100L!$N$22)+1),ROW()-102),1),"")</f>
        <v/>
      </c>
      <c r="Q122" s="98" t="str">
        <f t="array" ref="Q122">IFERROR(INDEX(AOC_AS_NON_100L!$M$42:$M$61,SMALL(IF(AOC_AS_NON_100L!$M$42:$M$61&lt;&gt;"",ROW(AOC_AS_NON_100L!$M$42:$M$61)-ROW(AOC_AS_NON_100L!$M$42)+1),ROW()-102),1),"")</f>
        <v/>
      </c>
      <c r="R122" s="99" t="str">
        <v/>
      </c>
      <c r="S122" s="98" t="str">
        <f t="array" ref="S122">IFERROR(INDEX(AOC_AS_NON_100L!$M$62:$M$81,SMALL(IF(AOC_AS_NON_100L!$M$62:$M$81&lt;&gt;"",ROW(AOC_AS_NON_100L!$M$62:$M$81)-ROW(AOC_AS_NON_100L!$M$62)+1),ROW()-102),1),"")</f>
        <v/>
      </c>
      <c r="T122" s="99" t="str">
        <f t="array" ref="T122">IFERROR(INDEX(AOC_AS_NON_100L!$N$62:$N$81,SMALL(IF(AOC_AS_NON_100L!$N$62:$N$81&lt;&gt;"",ROW(AOC_AS_NON_100L!$N$62:$N$81)-ROW(AOC_AS_NON_100L!$N$62)+1),ROW()-102),1),"")</f>
        <v/>
      </c>
      <c r="U122" s="98" t="str">
        <f t="array" ref="U122">IFERROR(INDEX(AOC_AS_NON_100L!$M$82:$M$101,SMALL(IF(AOC_AS_NON_100L!$M$82:$M$101&lt;&gt;"",ROW(AOC_AS_NON_100L!$M$82:$M$101)-ROW(AOC_AS_NON_100L!$M$82)+1),ROW()-102),1),"")</f>
        <v/>
      </c>
      <c r="V122" s="100" t="str">
        <f t="array" ref="V122">IFERROR(INDEX(AOC_AS_NON_100L!$N$82:$N$101,SMALL(IF(AOC_AS_NON_100L!$N$82:$N$101&lt;&gt;"",ROW(AOC_AS_NON_100L!$N$82:$N$101)-ROW(AOC_AS_NON_100L!$N$82)+1),ROW()-102),1),"")</f>
        <v/>
      </c>
    </row>
    <row r="123" spans="1:22" ht="15" customHeight="1" x14ac:dyDescent="0.2">
      <c r="A123" s="37"/>
      <c r="B123" s="59"/>
      <c r="C123" s="60"/>
      <c r="D123" s="83" t="str">
        <f t="shared" si="6"/>
        <v xml:space="preserve"> 000</v>
      </c>
      <c r="E123" s="119"/>
      <c r="F123" s="119"/>
      <c r="G123" s="120"/>
      <c r="H123" s="62"/>
      <c r="I123" s="62"/>
      <c r="J123" s="63"/>
      <c r="K123" s="37"/>
      <c r="L123" s="25"/>
      <c r="M123" s="144" t="s">
        <v>1359</v>
      </c>
      <c r="N123" s="144"/>
      <c r="O123" s="144"/>
      <c r="P123" s="106">
        <f>Q123</f>
        <v>0</v>
      </c>
      <c r="Q123" s="137">
        <f>SUM(N103:N122,P103:P122,R103:R122,T103:T122,V103:V122)</f>
        <v>0</v>
      </c>
      <c r="R123" s="141" t="s">
        <v>1349</v>
      </c>
      <c r="S123" s="26"/>
      <c r="T123" s="26"/>
      <c r="U123" s="26"/>
      <c r="V123" s="27"/>
    </row>
    <row r="124" spans="1:22" ht="15" customHeight="1" x14ac:dyDescent="0.2">
      <c r="A124" s="37"/>
      <c r="B124" s="64"/>
      <c r="C124" s="65"/>
      <c r="D124" s="82" t="str">
        <f t="shared" si="6"/>
        <v xml:space="preserve"> 000</v>
      </c>
      <c r="E124" s="117"/>
      <c r="F124" s="117"/>
      <c r="G124" s="118"/>
      <c r="H124" s="66"/>
      <c r="I124" s="66"/>
      <c r="J124" s="58"/>
      <c r="K124" s="37"/>
      <c r="L124" s="35"/>
      <c r="M124" s="145"/>
      <c r="N124" s="145"/>
      <c r="O124" s="145"/>
      <c r="P124" s="107"/>
      <c r="Q124" s="138"/>
      <c r="R124" s="142"/>
      <c r="S124" s="28"/>
      <c r="T124" s="28"/>
      <c r="U124" s="28"/>
      <c r="V124" s="36"/>
    </row>
    <row r="125" spans="1:22" ht="15" customHeight="1" x14ac:dyDescent="0.2">
      <c r="A125" s="37"/>
      <c r="B125" s="59"/>
      <c r="C125" s="60"/>
      <c r="D125" s="83" t="str">
        <f t="shared" si="6"/>
        <v xml:space="preserve"> 000</v>
      </c>
      <c r="E125" s="119"/>
      <c r="F125" s="119"/>
      <c r="G125" s="120"/>
      <c r="H125" s="62"/>
      <c r="I125" s="62"/>
      <c r="J125" s="63"/>
      <c r="K125" s="37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</row>
    <row r="126" spans="1:22" ht="15" customHeight="1" x14ac:dyDescent="0.2">
      <c r="A126" s="37"/>
      <c r="B126" s="68"/>
      <c r="C126" s="69"/>
      <c r="D126" s="84" t="str">
        <f t="shared" si="6"/>
        <v xml:space="preserve"> 000</v>
      </c>
      <c r="E126" s="124"/>
      <c r="F126" s="124"/>
      <c r="G126" s="125"/>
      <c r="H126" s="71"/>
      <c r="I126" s="71"/>
      <c r="J126" s="72"/>
      <c r="K126" s="37"/>
      <c r="L126" s="110" t="s">
        <v>1362</v>
      </c>
      <c r="M126" s="111"/>
      <c r="N126" s="111"/>
      <c r="O126" s="111"/>
      <c r="P126" s="111"/>
      <c r="Q126" s="111"/>
      <c r="R126" s="111"/>
      <c r="S126" s="111"/>
      <c r="T126" s="111"/>
      <c r="U126" s="111"/>
      <c r="V126" s="112"/>
    </row>
    <row r="127" spans="1:22" ht="15" customHeight="1" thickBot="1" x14ac:dyDescent="0.25">
      <c r="A127" s="37"/>
      <c r="B127" s="73"/>
      <c r="C127" s="74"/>
      <c r="D127" s="74"/>
      <c r="E127" s="74"/>
      <c r="F127" s="74" t="s">
        <v>198</v>
      </c>
      <c r="G127" s="74"/>
      <c r="H127" s="74">
        <f>SUM(H118:H126)</f>
        <v>0</v>
      </c>
      <c r="I127" s="74"/>
      <c r="J127" s="75"/>
      <c r="K127" s="37"/>
      <c r="L127" s="113"/>
      <c r="M127" s="114"/>
      <c r="N127" s="114"/>
      <c r="O127" s="114"/>
      <c r="P127" s="114"/>
      <c r="Q127" s="114"/>
      <c r="R127" s="114"/>
      <c r="S127" s="114"/>
      <c r="T127" s="114"/>
      <c r="U127" s="114"/>
      <c r="V127" s="115"/>
    </row>
    <row r="128" spans="1:22" ht="15" customHeight="1" x14ac:dyDescent="0.2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29"/>
      <c r="M128" s="24"/>
      <c r="N128" s="24"/>
      <c r="O128" s="24"/>
      <c r="P128" s="24"/>
      <c r="Q128" s="24"/>
      <c r="R128" s="24"/>
      <c r="S128" s="24"/>
      <c r="T128" s="24"/>
      <c r="U128" s="24"/>
      <c r="V128" s="30"/>
    </row>
    <row r="129" spans="1:22" ht="15" customHeight="1" thickBot="1" x14ac:dyDescent="0.25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29"/>
      <c r="M129" s="24"/>
      <c r="N129" s="24"/>
      <c r="O129" s="106">
        <f>P129</f>
        <v>0</v>
      </c>
      <c r="P129" s="102">
        <f>SUM(H28,H43,H63,H77,H91,H113,H127,H141,H163,H177,H192)</f>
        <v>0</v>
      </c>
      <c r="Q129" s="104" t="s">
        <v>1363</v>
      </c>
      <c r="R129" s="24"/>
      <c r="S129" s="24"/>
      <c r="T129" s="24"/>
      <c r="U129" s="24"/>
      <c r="V129" s="30"/>
    </row>
    <row r="130" spans="1:22" ht="15" customHeight="1" x14ac:dyDescent="0.2">
      <c r="A130" s="37"/>
      <c r="B130" s="76" t="s">
        <v>5</v>
      </c>
      <c r="C130" s="77"/>
      <c r="D130" s="77"/>
      <c r="E130" s="77"/>
      <c r="F130" s="79"/>
      <c r="G130" s="79"/>
      <c r="H130" s="79"/>
      <c r="I130" s="79"/>
      <c r="J130" s="80"/>
      <c r="K130" s="37"/>
      <c r="L130" s="31"/>
      <c r="M130" s="22"/>
      <c r="N130" s="22"/>
      <c r="O130" s="107"/>
      <c r="P130" s="103"/>
      <c r="Q130" s="105"/>
      <c r="R130" s="22"/>
      <c r="S130" s="22"/>
      <c r="T130" s="22"/>
      <c r="U130" s="22"/>
      <c r="V130" s="32"/>
    </row>
    <row r="131" spans="1:22" ht="15" customHeight="1" thickBot="1" x14ac:dyDescent="0.25">
      <c r="A131" s="37"/>
      <c r="B131" s="49" t="s">
        <v>177</v>
      </c>
      <c r="C131" s="50" t="s">
        <v>6</v>
      </c>
      <c r="D131" s="50"/>
      <c r="E131" s="123" t="s">
        <v>154</v>
      </c>
      <c r="F131" s="123"/>
      <c r="G131" s="123"/>
      <c r="H131" s="50" t="s">
        <v>199</v>
      </c>
      <c r="I131" s="50" t="s">
        <v>155</v>
      </c>
      <c r="J131" s="81" t="s">
        <v>155</v>
      </c>
      <c r="K131" s="37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</row>
    <row r="132" spans="1:22" ht="15" customHeight="1" thickTop="1" x14ac:dyDescent="0.2">
      <c r="A132" s="37"/>
      <c r="B132" s="54"/>
      <c r="C132" s="56"/>
      <c r="D132" s="82" t="str">
        <f>CONCATENATE(B132," ",TEXT(C132,"000"))</f>
        <v xml:space="preserve"> 000</v>
      </c>
      <c r="E132" s="128"/>
      <c r="F132" s="121"/>
      <c r="G132" s="122"/>
      <c r="H132" s="57"/>
      <c r="I132" s="57"/>
      <c r="J132" s="58"/>
      <c r="K132" s="37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</row>
    <row r="133" spans="1:22" ht="15" customHeight="1" x14ac:dyDescent="0.2">
      <c r="A133" s="37"/>
      <c r="B133" s="59"/>
      <c r="C133" s="61"/>
      <c r="D133" s="83" t="str">
        <f t="shared" ref="D133:D140" si="7">CONCATENATE(B133," ",TEXT(C133,"000"))</f>
        <v xml:space="preserve"> 000</v>
      </c>
      <c r="E133" s="126"/>
      <c r="F133" s="119"/>
      <c r="G133" s="120"/>
      <c r="H133" s="62"/>
      <c r="I133" s="62"/>
      <c r="J133" s="63"/>
      <c r="K133" s="37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</row>
    <row r="134" spans="1:22" ht="15" customHeight="1" x14ac:dyDescent="0.2">
      <c r="A134" s="37"/>
      <c r="B134" s="64"/>
      <c r="C134" s="56"/>
      <c r="D134" s="82" t="str">
        <f t="shared" si="7"/>
        <v xml:space="preserve"> 000</v>
      </c>
      <c r="E134" s="127"/>
      <c r="F134" s="117"/>
      <c r="G134" s="118"/>
      <c r="H134" s="66"/>
      <c r="I134" s="66"/>
      <c r="J134" s="58"/>
      <c r="K134" s="37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</row>
    <row r="135" spans="1:22" ht="15" customHeight="1" x14ac:dyDescent="0.2">
      <c r="A135" s="37"/>
      <c r="B135" s="59"/>
      <c r="C135" s="61"/>
      <c r="D135" s="83" t="str">
        <f t="shared" si="7"/>
        <v xml:space="preserve"> 000</v>
      </c>
      <c r="E135" s="126"/>
      <c r="F135" s="119"/>
      <c r="G135" s="120"/>
      <c r="H135" s="62"/>
      <c r="I135" s="62"/>
      <c r="J135" s="63"/>
      <c r="K135" s="37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</row>
    <row r="136" spans="1:22" ht="15" customHeight="1" x14ac:dyDescent="0.2">
      <c r="A136" s="37"/>
      <c r="B136" s="64"/>
      <c r="C136" s="56"/>
      <c r="D136" s="82" t="str">
        <f t="shared" si="7"/>
        <v xml:space="preserve"> 000</v>
      </c>
      <c r="E136" s="127"/>
      <c r="F136" s="117"/>
      <c r="G136" s="118"/>
      <c r="H136" s="66"/>
      <c r="I136" s="66"/>
      <c r="J136" s="58"/>
      <c r="K136" s="37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</row>
    <row r="137" spans="1:22" ht="15" customHeight="1" x14ac:dyDescent="0.2">
      <c r="A137" s="37"/>
      <c r="B137" s="59"/>
      <c r="C137" s="61"/>
      <c r="D137" s="83" t="str">
        <f t="shared" si="7"/>
        <v xml:space="preserve"> 000</v>
      </c>
      <c r="E137" s="126"/>
      <c r="F137" s="119"/>
      <c r="G137" s="120"/>
      <c r="H137" s="62"/>
      <c r="I137" s="62"/>
      <c r="J137" s="63"/>
      <c r="K137" s="37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</row>
    <row r="138" spans="1:22" ht="15" customHeight="1" x14ac:dyDescent="0.2">
      <c r="A138" s="37"/>
      <c r="B138" s="64"/>
      <c r="C138" s="56"/>
      <c r="D138" s="82" t="str">
        <f t="shared" si="7"/>
        <v xml:space="preserve"> 000</v>
      </c>
      <c r="E138" s="127"/>
      <c r="F138" s="117"/>
      <c r="G138" s="118"/>
      <c r="H138" s="66"/>
      <c r="I138" s="66"/>
      <c r="J138" s="58"/>
      <c r="K138" s="37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</row>
    <row r="139" spans="1:22" ht="15" customHeight="1" x14ac:dyDescent="0.2">
      <c r="A139" s="37"/>
      <c r="B139" s="59"/>
      <c r="C139" s="61"/>
      <c r="D139" s="83" t="str">
        <f t="shared" si="7"/>
        <v xml:space="preserve"> 000</v>
      </c>
      <c r="E139" s="126"/>
      <c r="F139" s="119"/>
      <c r="G139" s="120"/>
      <c r="H139" s="62"/>
      <c r="I139" s="62"/>
      <c r="J139" s="63"/>
      <c r="K139" s="37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</row>
    <row r="140" spans="1:22" ht="15" customHeight="1" x14ac:dyDescent="0.2">
      <c r="A140" s="37"/>
      <c r="B140" s="68"/>
      <c r="C140" s="70"/>
      <c r="D140" s="84" t="str">
        <f t="shared" si="7"/>
        <v xml:space="preserve"> 000</v>
      </c>
      <c r="E140" s="129"/>
      <c r="F140" s="124"/>
      <c r="G140" s="125"/>
      <c r="H140" s="71"/>
      <c r="I140" s="71"/>
      <c r="J140" s="72"/>
      <c r="K140" s="37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</row>
    <row r="141" spans="1:22" ht="15" customHeight="1" thickBot="1" x14ac:dyDescent="0.25">
      <c r="A141" s="37"/>
      <c r="B141" s="73"/>
      <c r="C141" s="74"/>
      <c r="D141" s="74"/>
      <c r="E141" s="74"/>
      <c r="F141" s="74" t="s">
        <v>198</v>
      </c>
      <c r="G141" s="74"/>
      <c r="H141" s="74">
        <f>SUM(H132:H140)</f>
        <v>0</v>
      </c>
      <c r="I141" s="74"/>
      <c r="J141" s="75"/>
      <c r="K141" s="37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</row>
    <row r="142" spans="1:22" ht="15" customHeight="1" x14ac:dyDescent="0.2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</row>
    <row r="143" spans="1:22" ht="15" customHeight="1" x14ac:dyDescent="0.2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</row>
    <row r="144" spans="1:22" ht="15" customHeight="1" x14ac:dyDescent="0.2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</row>
    <row r="145" spans="1:22" ht="15" customHeight="1" x14ac:dyDescent="0.2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</row>
    <row r="146" spans="1:22" x14ac:dyDescent="0.2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</row>
    <row r="147" spans="1:22" x14ac:dyDescent="0.2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</row>
    <row r="148" spans="1:22" x14ac:dyDescent="0.2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</row>
    <row r="149" spans="1:22" x14ac:dyDescent="0.2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</row>
    <row r="150" spans="1:22" x14ac:dyDescent="0.2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</row>
    <row r="151" spans="1:22" ht="15" customHeight="1" thickBot="1" x14ac:dyDescent="0.25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</row>
    <row r="152" spans="1:22" ht="15" customHeight="1" x14ac:dyDescent="0.2">
      <c r="A152" s="37"/>
      <c r="B152" s="76" t="s">
        <v>5</v>
      </c>
      <c r="C152" s="77"/>
      <c r="D152" s="77"/>
      <c r="E152" s="77"/>
      <c r="F152" s="79"/>
      <c r="G152" s="79"/>
      <c r="H152" s="79"/>
      <c r="I152" s="79"/>
      <c r="J152" s="80"/>
      <c r="K152" s="37"/>
    </row>
    <row r="153" spans="1:22" ht="15" customHeight="1" thickBot="1" x14ac:dyDescent="0.25">
      <c r="A153" s="37"/>
      <c r="B153" s="49" t="s">
        <v>177</v>
      </c>
      <c r="C153" s="50" t="s">
        <v>6</v>
      </c>
      <c r="D153" s="50"/>
      <c r="E153" s="123" t="s">
        <v>154</v>
      </c>
      <c r="F153" s="123"/>
      <c r="G153" s="123"/>
      <c r="H153" s="50" t="s">
        <v>199</v>
      </c>
      <c r="I153" s="50" t="s">
        <v>155</v>
      </c>
      <c r="J153" s="81" t="s">
        <v>155</v>
      </c>
      <c r="K153" s="37"/>
    </row>
    <row r="154" spans="1:22" ht="15" customHeight="1" thickTop="1" x14ac:dyDescent="0.2">
      <c r="A154" s="37"/>
      <c r="B154" s="54"/>
      <c r="C154" s="55"/>
      <c r="D154" s="82" t="str">
        <f>CONCATENATE(B154," ",TEXT(C154,"000"))</f>
        <v xml:space="preserve"> 000</v>
      </c>
      <c r="E154" s="121"/>
      <c r="F154" s="121"/>
      <c r="G154" s="122"/>
      <c r="H154" s="57"/>
      <c r="I154" s="57"/>
      <c r="J154" s="58"/>
      <c r="K154" s="37"/>
    </row>
    <row r="155" spans="1:22" ht="15" customHeight="1" x14ac:dyDescent="0.2">
      <c r="A155" s="37"/>
      <c r="B155" s="59"/>
      <c r="C155" s="60"/>
      <c r="D155" s="83" t="str">
        <f t="shared" ref="D155:D162" si="8">CONCATENATE(B155," ",TEXT(C155,"000"))</f>
        <v xml:space="preserve"> 000</v>
      </c>
      <c r="E155" s="119"/>
      <c r="F155" s="119"/>
      <c r="G155" s="120"/>
      <c r="H155" s="62"/>
      <c r="I155" s="62"/>
      <c r="J155" s="63"/>
      <c r="K155" s="37"/>
    </row>
    <row r="156" spans="1:22" ht="15" customHeight="1" x14ac:dyDescent="0.2">
      <c r="A156" s="37"/>
      <c r="B156" s="64"/>
      <c r="C156" s="65"/>
      <c r="D156" s="82" t="str">
        <f t="shared" si="8"/>
        <v xml:space="preserve"> 000</v>
      </c>
      <c r="E156" s="117"/>
      <c r="F156" s="117"/>
      <c r="G156" s="118"/>
      <c r="H156" s="66"/>
      <c r="I156" s="66"/>
      <c r="J156" s="58"/>
      <c r="K156" s="37"/>
    </row>
    <row r="157" spans="1:22" ht="15" customHeight="1" x14ac:dyDescent="0.2">
      <c r="A157" s="37"/>
      <c r="B157" s="59"/>
      <c r="C157" s="60"/>
      <c r="D157" s="83" t="str">
        <f t="shared" si="8"/>
        <v xml:space="preserve"> 000</v>
      </c>
      <c r="E157" s="119"/>
      <c r="F157" s="119"/>
      <c r="G157" s="120"/>
      <c r="H157" s="62"/>
      <c r="I157" s="62"/>
      <c r="J157" s="63"/>
      <c r="K157" s="37"/>
    </row>
    <row r="158" spans="1:22" ht="15" customHeight="1" x14ac:dyDescent="0.2">
      <c r="A158" s="37"/>
      <c r="B158" s="64"/>
      <c r="C158" s="65"/>
      <c r="D158" s="82" t="str">
        <f t="shared" si="8"/>
        <v xml:space="preserve"> 000</v>
      </c>
      <c r="E158" s="117"/>
      <c r="F158" s="117"/>
      <c r="G158" s="118"/>
      <c r="H158" s="66"/>
      <c r="I158" s="66"/>
      <c r="J158" s="58"/>
      <c r="K158" s="37"/>
    </row>
    <row r="159" spans="1:22" ht="15" customHeight="1" x14ac:dyDescent="0.2">
      <c r="A159" s="37"/>
      <c r="B159" s="59"/>
      <c r="C159" s="60"/>
      <c r="D159" s="83" t="str">
        <f t="shared" si="8"/>
        <v xml:space="preserve"> 000</v>
      </c>
      <c r="E159" s="119"/>
      <c r="F159" s="119"/>
      <c r="G159" s="120"/>
      <c r="H159" s="62"/>
      <c r="I159" s="62"/>
      <c r="J159" s="63"/>
      <c r="K159" s="37"/>
    </row>
    <row r="160" spans="1:22" ht="15" customHeight="1" x14ac:dyDescent="0.2">
      <c r="A160" s="37"/>
      <c r="B160" s="64"/>
      <c r="C160" s="65"/>
      <c r="D160" s="82" t="str">
        <f t="shared" si="8"/>
        <v xml:space="preserve"> 000</v>
      </c>
      <c r="E160" s="117"/>
      <c r="F160" s="117"/>
      <c r="G160" s="118"/>
      <c r="H160" s="66"/>
      <c r="I160" s="66"/>
      <c r="J160" s="58"/>
      <c r="K160" s="37"/>
    </row>
    <row r="161" spans="1:11" ht="15" customHeight="1" x14ac:dyDescent="0.2">
      <c r="A161" s="37"/>
      <c r="B161" s="59"/>
      <c r="C161" s="60"/>
      <c r="D161" s="83" t="str">
        <f t="shared" si="8"/>
        <v xml:space="preserve"> 000</v>
      </c>
      <c r="E161" s="119"/>
      <c r="F161" s="119"/>
      <c r="G161" s="120"/>
      <c r="H161" s="62"/>
      <c r="I161" s="62"/>
      <c r="J161" s="63"/>
      <c r="K161" s="37"/>
    </row>
    <row r="162" spans="1:11" ht="15" customHeight="1" x14ac:dyDescent="0.2">
      <c r="A162" s="37"/>
      <c r="B162" s="68"/>
      <c r="C162" s="69"/>
      <c r="D162" s="84" t="str">
        <f t="shared" si="8"/>
        <v xml:space="preserve"> 000</v>
      </c>
      <c r="E162" s="124"/>
      <c r="F162" s="124"/>
      <c r="G162" s="125"/>
      <c r="H162" s="71"/>
      <c r="I162" s="71"/>
      <c r="J162" s="72"/>
      <c r="K162" s="37"/>
    </row>
    <row r="163" spans="1:11" ht="15" customHeight="1" thickBot="1" x14ac:dyDescent="0.25">
      <c r="A163" s="37"/>
      <c r="B163" s="73"/>
      <c r="C163" s="74"/>
      <c r="D163" s="74"/>
      <c r="E163" s="74"/>
      <c r="F163" s="74" t="s">
        <v>198</v>
      </c>
      <c r="G163" s="74"/>
      <c r="H163" s="74">
        <f>SUM(H154:H162)</f>
        <v>0</v>
      </c>
      <c r="I163" s="74"/>
      <c r="J163" s="75"/>
      <c r="K163" s="37"/>
    </row>
    <row r="164" spans="1:11" ht="15" customHeight="1" x14ac:dyDescent="0.2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</row>
    <row r="165" spans="1:11" ht="15" customHeight="1" thickBot="1" x14ac:dyDescent="0.25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</row>
    <row r="166" spans="1:11" ht="15" customHeight="1" x14ac:dyDescent="0.2">
      <c r="A166" s="37"/>
      <c r="B166" s="76" t="s">
        <v>5</v>
      </c>
      <c r="C166" s="77"/>
      <c r="D166" s="77"/>
      <c r="E166" s="77"/>
      <c r="F166" s="79"/>
      <c r="G166" s="79"/>
      <c r="H166" s="79"/>
      <c r="I166" s="79"/>
      <c r="J166" s="80"/>
      <c r="K166" s="37"/>
    </row>
    <row r="167" spans="1:11" ht="15" customHeight="1" thickBot="1" x14ac:dyDescent="0.25">
      <c r="A167" s="37"/>
      <c r="B167" s="49" t="s">
        <v>177</v>
      </c>
      <c r="C167" s="50" t="s">
        <v>6</v>
      </c>
      <c r="D167" s="50"/>
      <c r="E167" s="123" t="s">
        <v>154</v>
      </c>
      <c r="F167" s="123"/>
      <c r="G167" s="123"/>
      <c r="H167" s="50" t="s">
        <v>199</v>
      </c>
      <c r="I167" s="50" t="s">
        <v>155</v>
      </c>
      <c r="J167" s="81" t="s">
        <v>155</v>
      </c>
      <c r="K167" s="37"/>
    </row>
    <row r="168" spans="1:11" ht="15" customHeight="1" thickTop="1" x14ac:dyDescent="0.2">
      <c r="A168" s="37"/>
      <c r="B168" s="54"/>
      <c r="C168" s="55"/>
      <c r="D168" s="82" t="str">
        <f>CONCATENATE(B168," ",TEXT(C168,"000"))</f>
        <v xml:space="preserve"> 000</v>
      </c>
      <c r="E168" s="121"/>
      <c r="F168" s="121"/>
      <c r="G168" s="122"/>
      <c r="H168" s="57"/>
      <c r="I168" s="57"/>
      <c r="J168" s="58"/>
      <c r="K168" s="37"/>
    </row>
    <row r="169" spans="1:11" ht="15" customHeight="1" x14ac:dyDescent="0.2">
      <c r="A169" s="37"/>
      <c r="B169" s="59"/>
      <c r="C169" s="60"/>
      <c r="D169" s="83" t="str">
        <f t="shared" ref="D169:D176" si="9">CONCATENATE(B169," ",TEXT(C169,"000"))</f>
        <v xml:space="preserve"> 000</v>
      </c>
      <c r="E169" s="119"/>
      <c r="F169" s="119"/>
      <c r="G169" s="120"/>
      <c r="H169" s="62"/>
      <c r="I169" s="62"/>
      <c r="J169" s="63"/>
      <c r="K169" s="37"/>
    </row>
    <row r="170" spans="1:11" ht="15" customHeight="1" x14ac:dyDescent="0.2">
      <c r="A170" s="37"/>
      <c r="B170" s="64"/>
      <c r="C170" s="65"/>
      <c r="D170" s="82" t="str">
        <f t="shared" si="9"/>
        <v xml:space="preserve"> 000</v>
      </c>
      <c r="E170" s="117"/>
      <c r="F170" s="117"/>
      <c r="G170" s="118"/>
      <c r="H170" s="66"/>
      <c r="I170" s="66"/>
      <c r="J170" s="58"/>
      <c r="K170" s="37"/>
    </row>
    <row r="171" spans="1:11" ht="15" customHeight="1" x14ac:dyDescent="0.2">
      <c r="A171" s="37"/>
      <c r="B171" s="59"/>
      <c r="C171" s="60"/>
      <c r="D171" s="83" t="str">
        <f t="shared" si="9"/>
        <v xml:space="preserve"> 000</v>
      </c>
      <c r="E171" s="119"/>
      <c r="F171" s="119"/>
      <c r="G171" s="120"/>
      <c r="H171" s="62"/>
      <c r="I171" s="62"/>
      <c r="J171" s="63"/>
      <c r="K171" s="37"/>
    </row>
    <row r="172" spans="1:11" ht="15" customHeight="1" x14ac:dyDescent="0.2">
      <c r="A172" s="37"/>
      <c r="B172" s="64"/>
      <c r="C172" s="65"/>
      <c r="D172" s="82" t="str">
        <f t="shared" si="9"/>
        <v xml:space="preserve"> 000</v>
      </c>
      <c r="E172" s="117"/>
      <c r="F172" s="117"/>
      <c r="G172" s="118"/>
      <c r="H172" s="66"/>
      <c r="I172" s="66"/>
      <c r="J172" s="58"/>
      <c r="K172" s="37"/>
    </row>
    <row r="173" spans="1:11" ht="15" customHeight="1" x14ac:dyDescent="0.2">
      <c r="A173" s="37"/>
      <c r="B173" s="59"/>
      <c r="C173" s="60"/>
      <c r="D173" s="83" t="str">
        <f t="shared" si="9"/>
        <v xml:space="preserve"> 000</v>
      </c>
      <c r="E173" s="119"/>
      <c r="F173" s="119"/>
      <c r="G173" s="120"/>
      <c r="H173" s="62"/>
      <c r="I173" s="62"/>
      <c r="J173" s="63"/>
      <c r="K173" s="37"/>
    </row>
    <row r="174" spans="1:11" ht="15" customHeight="1" x14ac:dyDescent="0.2">
      <c r="A174" s="37"/>
      <c r="B174" s="64"/>
      <c r="C174" s="65"/>
      <c r="D174" s="82" t="str">
        <f t="shared" si="9"/>
        <v xml:space="preserve"> 000</v>
      </c>
      <c r="E174" s="117"/>
      <c r="F174" s="117"/>
      <c r="G174" s="118"/>
      <c r="H174" s="66"/>
      <c r="I174" s="66"/>
      <c r="J174" s="58"/>
      <c r="K174" s="37"/>
    </row>
    <row r="175" spans="1:11" ht="15" customHeight="1" x14ac:dyDescent="0.2">
      <c r="A175" s="37"/>
      <c r="B175" s="59"/>
      <c r="C175" s="60"/>
      <c r="D175" s="83" t="str">
        <f t="shared" si="9"/>
        <v xml:space="preserve"> 000</v>
      </c>
      <c r="E175" s="119"/>
      <c r="F175" s="119"/>
      <c r="G175" s="120"/>
      <c r="H175" s="62"/>
      <c r="I175" s="62"/>
      <c r="J175" s="63"/>
      <c r="K175" s="37"/>
    </row>
    <row r="176" spans="1:11" ht="15" customHeight="1" x14ac:dyDescent="0.2">
      <c r="A176" s="37"/>
      <c r="B176" s="68"/>
      <c r="C176" s="69"/>
      <c r="D176" s="84" t="str">
        <f t="shared" si="9"/>
        <v xml:space="preserve"> 000</v>
      </c>
      <c r="E176" s="124"/>
      <c r="F176" s="124"/>
      <c r="G176" s="125"/>
      <c r="H176" s="71"/>
      <c r="I176" s="71"/>
      <c r="J176" s="72"/>
      <c r="K176" s="37"/>
    </row>
    <row r="177" spans="1:11" ht="15" customHeight="1" thickBot="1" x14ac:dyDescent="0.25">
      <c r="A177" s="37"/>
      <c r="B177" s="73"/>
      <c r="C177" s="74"/>
      <c r="D177" s="74"/>
      <c r="E177" s="74"/>
      <c r="F177" s="74" t="s">
        <v>198</v>
      </c>
      <c r="G177" s="74"/>
      <c r="H177" s="74">
        <f>SUM(H168:H176)</f>
        <v>0</v>
      </c>
      <c r="I177" s="74"/>
      <c r="J177" s="75"/>
      <c r="K177" s="37"/>
    </row>
    <row r="178" spans="1:11" ht="15" customHeight="1" x14ac:dyDescent="0.2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</row>
    <row r="179" spans="1:11" ht="15" customHeight="1" x14ac:dyDescent="0.2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</row>
    <row r="180" spans="1:11" ht="15" customHeight="1" thickBot="1" x14ac:dyDescent="0.25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</row>
    <row r="181" spans="1:11" ht="15" customHeight="1" x14ac:dyDescent="0.2">
      <c r="A181" s="37"/>
      <c r="B181" s="76" t="s">
        <v>5</v>
      </c>
      <c r="C181" s="77"/>
      <c r="D181" s="77"/>
      <c r="E181" s="77"/>
      <c r="F181" s="79"/>
      <c r="G181" s="79"/>
      <c r="H181" s="79"/>
      <c r="I181" s="79"/>
      <c r="J181" s="80"/>
      <c r="K181" s="37"/>
    </row>
    <row r="182" spans="1:11" ht="15" customHeight="1" thickBot="1" x14ac:dyDescent="0.25">
      <c r="A182" s="37"/>
      <c r="B182" s="49" t="s">
        <v>177</v>
      </c>
      <c r="C182" s="50" t="s">
        <v>6</v>
      </c>
      <c r="D182" s="50"/>
      <c r="E182" s="123" t="s">
        <v>154</v>
      </c>
      <c r="F182" s="123"/>
      <c r="G182" s="123"/>
      <c r="H182" s="50" t="s">
        <v>199</v>
      </c>
      <c r="I182" s="50" t="s">
        <v>155</v>
      </c>
      <c r="J182" s="81" t="s">
        <v>155</v>
      </c>
      <c r="K182" s="37"/>
    </row>
    <row r="183" spans="1:11" ht="15" customHeight="1" thickTop="1" x14ac:dyDescent="0.2">
      <c r="A183" s="37"/>
      <c r="B183" s="54"/>
      <c r="C183" s="55"/>
      <c r="D183" s="82" t="str">
        <f>CONCATENATE(B183," ",TEXT(C183,"000"))</f>
        <v xml:space="preserve"> 000</v>
      </c>
      <c r="E183" s="121"/>
      <c r="F183" s="121"/>
      <c r="G183" s="122"/>
      <c r="H183" s="57"/>
      <c r="I183" s="57"/>
      <c r="J183" s="58"/>
      <c r="K183" s="37"/>
    </row>
    <row r="184" spans="1:11" ht="15" customHeight="1" x14ac:dyDescent="0.2">
      <c r="A184" s="37"/>
      <c r="B184" s="59"/>
      <c r="C184" s="60"/>
      <c r="D184" s="83" t="str">
        <f t="shared" ref="D184:D191" si="10">CONCATENATE(B184," ",TEXT(C184,"000"))</f>
        <v xml:space="preserve"> 000</v>
      </c>
      <c r="E184" s="119"/>
      <c r="F184" s="119"/>
      <c r="G184" s="120"/>
      <c r="H184" s="62"/>
      <c r="I184" s="62"/>
      <c r="J184" s="63"/>
      <c r="K184" s="37"/>
    </row>
    <row r="185" spans="1:11" ht="15" customHeight="1" x14ac:dyDescent="0.2">
      <c r="A185" s="37"/>
      <c r="B185" s="64"/>
      <c r="C185" s="65"/>
      <c r="D185" s="82" t="str">
        <f t="shared" si="10"/>
        <v xml:space="preserve"> 000</v>
      </c>
      <c r="E185" s="117"/>
      <c r="F185" s="117"/>
      <c r="G185" s="118"/>
      <c r="H185" s="66"/>
      <c r="I185" s="66"/>
      <c r="J185" s="58"/>
      <c r="K185" s="37"/>
    </row>
    <row r="186" spans="1:11" ht="15" customHeight="1" x14ac:dyDescent="0.2">
      <c r="A186" s="37"/>
      <c r="B186" s="59"/>
      <c r="C186" s="60"/>
      <c r="D186" s="83" t="str">
        <f t="shared" si="10"/>
        <v xml:space="preserve"> 000</v>
      </c>
      <c r="E186" s="119"/>
      <c r="F186" s="119"/>
      <c r="G186" s="120"/>
      <c r="H186" s="62"/>
      <c r="I186" s="62"/>
      <c r="J186" s="63"/>
      <c r="K186" s="37"/>
    </row>
    <row r="187" spans="1:11" ht="15" customHeight="1" x14ac:dyDescent="0.2">
      <c r="A187" s="37"/>
      <c r="B187" s="64"/>
      <c r="C187" s="65"/>
      <c r="D187" s="82" t="str">
        <f t="shared" si="10"/>
        <v xml:space="preserve"> 000</v>
      </c>
      <c r="E187" s="117"/>
      <c r="F187" s="117"/>
      <c r="G187" s="118"/>
      <c r="H187" s="66"/>
      <c r="I187" s="66"/>
      <c r="J187" s="58"/>
      <c r="K187" s="37"/>
    </row>
    <row r="188" spans="1:11" ht="15" customHeight="1" x14ac:dyDescent="0.2">
      <c r="A188" s="37"/>
      <c r="B188" s="59"/>
      <c r="C188" s="60"/>
      <c r="D188" s="83" t="str">
        <f t="shared" si="10"/>
        <v xml:space="preserve"> 000</v>
      </c>
      <c r="E188" s="119"/>
      <c r="F188" s="119"/>
      <c r="G188" s="120"/>
      <c r="H188" s="62"/>
      <c r="I188" s="62"/>
      <c r="J188" s="63"/>
      <c r="K188" s="37"/>
    </row>
    <row r="189" spans="1:11" ht="15" customHeight="1" x14ac:dyDescent="0.2">
      <c r="A189" s="37"/>
      <c r="B189" s="64"/>
      <c r="C189" s="65"/>
      <c r="D189" s="82" t="str">
        <f t="shared" si="10"/>
        <v xml:space="preserve"> 000</v>
      </c>
      <c r="E189" s="117"/>
      <c r="F189" s="117"/>
      <c r="G189" s="118"/>
      <c r="H189" s="66"/>
      <c r="I189" s="66"/>
      <c r="J189" s="58"/>
      <c r="K189" s="37"/>
    </row>
    <row r="190" spans="1:11" ht="15" customHeight="1" x14ac:dyDescent="0.2">
      <c r="A190" s="37"/>
      <c r="B190" s="59"/>
      <c r="C190" s="60"/>
      <c r="D190" s="83" t="str">
        <f t="shared" si="10"/>
        <v xml:space="preserve"> 000</v>
      </c>
      <c r="E190" s="119"/>
      <c r="F190" s="119"/>
      <c r="G190" s="120"/>
      <c r="H190" s="62"/>
      <c r="I190" s="62"/>
      <c r="J190" s="63"/>
      <c r="K190" s="37"/>
    </row>
    <row r="191" spans="1:11" ht="15" customHeight="1" x14ac:dyDescent="0.2">
      <c r="A191" s="37"/>
      <c r="B191" s="68"/>
      <c r="C191" s="69"/>
      <c r="D191" s="84" t="str">
        <f t="shared" si="10"/>
        <v xml:space="preserve"> 000</v>
      </c>
      <c r="E191" s="124"/>
      <c r="F191" s="124"/>
      <c r="G191" s="125"/>
      <c r="H191" s="71"/>
      <c r="I191" s="71"/>
      <c r="J191" s="72"/>
      <c r="K191" s="37"/>
    </row>
    <row r="192" spans="1:11" ht="15" customHeight="1" thickBot="1" x14ac:dyDescent="0.25">
      <c r="A192" s="37"/>
      <c r="B192" s="73"/>
      <c r="C192" s="74"/>
      <c r="D192" s="74"/>
      <c r="E192" s="74"/>
      <c r="F192" s="74" t="s">
        <v>198</v>
      </c>
      <c r="G192" s="74"/>
      <c r="H192" s="74">
        <f>SUM(H183:H191)</f>
        <v>0</v>
      </c>
      <c r="I192" s="74"/>
      <c r="J192" s="75"/>
      <c r="K192" s="37"/>
    </row>
    <row r="193" spans="1:11" ht="15" customHeight="1" x14ac:dyDescent="0.2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</row>
    <row r="194" spans="1:11" ht="15" customHeight="1" x14ac:dyDescent="0.2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</row>
    <row r="195" spans="1:11" ht="15" customHeight="1" x14ac:dyDescent="0.2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</row>
    <row r="196" spans="1:11" ht="15" customHeight="1" x14ac:dyDescent="0.2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</row>
    <row r="197" spans="1:11" x14ac:dyDescent="0.2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</row>
    <row r="198" spans="1:11" x14ac:dyDescent="0.2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</row>
    <row r="199" spans="1:11" x14ac:dyDescent="0.2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</row>
    <row r="200" spans="1:11" x14ac:dyDescent="0.2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</row>
  </sheetData>
  <sheetProtection algorithmName="SHA-512" hashValue="O5MbSPaQXIztHByPYjkBKnna74PGHXB5BtRF0n7leHx2hkO7oLwgkEocTHF/GN5GMgfrYlExsJinbEzXtKWyDg==" saltValue="muXZ8lFWCkJNCOKAbZuNJA==" spinCount="100000" sheet="1" objects="1" scenarios="1" selectLockedCells="1"/>
  <mergeCells count="145">
    <mergeCell ref="R123:R124"/>
    <mergeCell ref="Q123:Q124"/>
    <mergeCell ref="P123:P124"/>
    <mergeCell ref="E57:G57"/>
    <mergeCell ref="E56:G56"/>
    <mergeCell ref="E55:G55"/>
    <mergeCell ref="E54:G54"/>
    <mergeCell ref="M123:O124"/>
    <mergeCell ref="E18:G18"/>
    <mergeCell ref="E27:G27"/>
    <mergeCell ref="E26:G26"/>
    <mergeCell ref="E25:G25"/>
    <mergeCell ref="E24:G24"/>
    <mergeCell ref="E23:G23"/>
    <mergeCell ref="N74:O75"/>
    <mergeCell ref="P99:P100"/>
    <mergeCell ref="E22:G22"/>
    <mergeCell ref="E21:G21"/>
    <mergeCell ref="E20:G20"/>
    <mergeCell ref="E19:G19"/>
    <mergeCell ref="E33:G33"/>
    <mergeCell ref="E67:G67"/>
    <mergeCell ref="E62:G62"/>
    <mergeCell ref="E61:G61"/>
    <mergeCell ref="L1:V2"/>
    <mergeCell ref="L41:V42"/>
    <mergeCell ref="N43:P43"/>
    <mergeCell ref="R43:T43"/>
    <mergeCell ref="L51:V52"/>
    <mergeCell ref="L77:V78"/>
    <mergeCell ref="L101:V102"/>
    <mergeCell ref="L20:V21"/>
    <mergeCell ref="Q74:Q75"/>
    <mergeCell ref="P74:P75"/>
    <mergeCell ref="R74:R75"/>
    <mergeCell ref="N3:O3"/>
    <mergeCell ref="R3:S3"/>
    <mergeCell ref="Q99:Q100"/>
    <mergeCell ref="R99:R100"/>
    <mergeCell ref="N99:O100"/>
    <mergeCell ref="A6:K7"/>
    <mergeCell ref="A1:K5"/>
    <mergeCell ref="E37:G37"/>
    <mergeCell ref="E36:G36"/>
    <mergeCell ref="E35:G35"/>
    <mergeCell ref="E34:G34"/>
    <mergeCell ref="E53:G53"/>
    <mergeCell ref="E42:G42"/>
    <mergeCell ref="E41:G41"/>
    <mergeCell ref="E40:G40"/>
    <mergeCell ref="E39:G39"/>
    <mergeCell ref="E38:G38"/>
    <mergeCell ref="B11:F11"/>
    <mergeCell ref="B10:F10"/>
    <mergeCell ref="C12:F12"/>
    <mergeCell ref="E60:G60"/>
    <mergeCell ref="E59:G59"/>
    <mergeCell ref="E58:G58"/>
    <mergeCell ref="E71:G71"/>
    <mergeCell ref="E70:G70"/>
    <mergeCell ref="E69:G69"/>
    <mergeCell ref="E68:G68"/>
    <mergeCell ref="E73:G73"/>
    <mergeCell ref="E72:G72"/>
    <mergeCell ref="E108:G108"/>
    <mergeCell ref="E85:G85"/>
    <mergeCell ref="E84:G84"/>
    <mergeCell ref="E83:G83"/>
    <mergeCell ref="E82:G82"/>
    <mergeCell ref="E103:G103"/>
    <mergeCell ref="E90:G90"/>
    <mergeCell ref="E89:G89"/>
    <mergeCell ref="E88:G88"/>
    <mergeCell ref="E87:G87"/>
    <mergeCell ref="E86:G86"/>
    <mergeCell ref="E133:G133"/>
    <mergeCell ref="E132:G132"/>
    <mergeCell ref="E153:G153"/>
    <mergeCell ref="E140:G140"/>
    <mergeCell ref="E139:G139"/>
    <mergeCell ref="E138:G138"/>
    <mergeCell ref="E137:G137"/>
    <mergeCell ref="E136:G136"/>
    <mergeCell ref="E121:G121"/>
    <mergeCell ref="E131:G131"/>
    <mergeCell ref="E126:G126"/>
    <mergeCell ref="E125:G125"/>
    <mergeCell ref="E124:G124"/>
    <mergeCell ref="E123:G123"/>
    <mergeCell ref="E122:G122"/>
    <mergeCell ref="E154:G154"/>
    <mergeCell ref="E167:G167"/>
    <mergeCell ref="E162:G162"/>
    <mergeCell ref="E161:G161"/>
    <mergeCell ref="E160:G160"/>
    <mergeCell ref="E159:G159"/>
    <mergeCell ref="E158:G158"/>
    <mergeCell ref="E135:G135"/>
    <mergeCell ref="E134:G134"/>
    <mergeCell ref="E157:G157"/>
    <mergeCell ref="E156:G156"/>
    <mergeCell ref="E155:G155"/>
    <mergeCell ref="E186:G186"/>
    <mergeCell ref="E185:G185"/>
    <mergeCell ref="E184:G184"/>
    <mergeCell ref="E183:G183"/>
    <mergeCell ref="E191:G191"/>
    <mergeCell ref="E190:G190"/>
    <mergeCell ref="E189:G189"/>
    <mergeCell ref="E188:G188"/>
    <mergeCell ref="E187:G187"/>
    <mergeCell ref="E171:G171"/>
    <mergeCell ref="E170:G170"/>
    <mergeCell ref="E169:G169"/>
    <mergeCell ref="E168:G168"/>
    <mergeCell ref="E182:G182"/>
    <mergeCell ref="E176:G176"/>
    <mergeCell ref="E175:G175"/>
    <mergeCell ref="E174:G174"/>
    <mergeCell ref="E173:G173"/>
    <mergeCell ref="E172:G172"/>
    <mergeCell ref="P129:P130"/>
    <mergeCell ref="Q129:Q130"/>
    <mergeCell ref="O129:O130"/>
    <mergeCell ref="H12:I12"/>
    <mergeCell ref="H10:I10"/>
    <mergeCell ref="H11:I11"/>
    <mergeCell ref="L126:V127"/>
    <mergeCell ref="Q22:R22"/>
    <mergeCell ref="E120:G120"/>
    <mergeCell ref="E119:G119"/>
    <mergeCell ref="E118:G118"/>
    <mergeCell ref="E107:G107"/>
    <mergeCell ref="E106:G106"/>
    <mergeCell ref="E105:G105"/>
    <mergeCell ref="E104:G104"/>
    <mergeCell ref="E117:G117"/>
    <mergeCell ref="E112:G112"/>
    <mergeCell ref="E111:G111"/>
    <mergeCell ref="E110:G110"/>
    <mergeCell ref="E109:G109"/>
    <mergeCell ref="E81:G81"/>
    <mergeCell ref="E76:G76"/>
    <mergeCell ref="E75:G75"/>
    <mergeCell ref="E74:G74"/>
  </mergeCells>
  <phoneticPr fontId="16" type="noConversion"/>
  <conditionalFormatting sqref="W3">
    <cfRule type="iconSet" priority="45">
      <iconSet iconSet="3Symbols">
        <cfvo type="percent" val="0"/>
        <cfvo type="percent" val="33"/>
        <cfvo type="percent" val="67"/>
      </iconSet>
    </cfRule>
  </conditionalFormatting>
  <conditionalFormatting sqref="Q23:R39">
    <cfRule type="containsErrors" dxfId="14" priority="36">
      <formula>ISERROR(Q23)</formula>
    </cfRule>
  </conditionalFormatting>
  <conditionalFormatting sqref="V3:V12">
    <cfRule type="iconSet" priority="33">
      <iconSet iconSet="3Symbols2" showValue="0">
        <cfvo type="percent" val="0"/>
        <cfvo type="percent" val="33"/>
        <cfvo type="percent" val="67"/>
      </iconSet>
    </cfRule>
  </conditionalFormatting>
  <conditionalFormatting sqref="M4:M13 M15:M17">
    <cfRule type="iconSet" priority="46">
      <iconSet iconSet="3Symbols2" showValue="0">
        <cfvo type="percent" val="0"/>
        <cfvo type="num" val="0" gte="0"/>
        <cfvo type="num" val="1"/>
      </iconSet>
    </cfRule>
  </conditionalFormatting>
  <conditionalFormatting sqref="M14">
    <cfRule type="iconSet" priority="32">
      <iconSet iconSet="3Symbols2" showValue="0">
        <cfvo type="percent" val="0"/>
        <cfvo type="num" val="0" gte="0"/>
        <cfvo type="num" val="1"/>
      </iconSet>
    </cfRule>
  </conditionalFormatting>
  <conditionalFormatting sqref="N23">
    <cfRule type="iconSet" priority="31">
      <iconSet iconSet="3Symbols">
        <cfvo type="percent" val="0"/>
        <cfvo type="percent" val="33"/>
        <cfvo type="percent" val="67"/>
      </iconSet>
    </cfRule>
  </conditionalFormatting>
  <conditionalFormatting sqref="Q5">
    <cfRule type="iconSet" priority="29">
      <iconSet iconSet="3Symbols2" showValue="0">
        <cfvo type="percent" val="0"/>
        <cfvo type="num" val="0" gte="0"/>
        <cfvo type="num" val="1"/>
      </iconSet>
    </cfRule>
  </conditionalFormatting>
  <conditionalFormatting sqref="Q8">
    <cfRule type="iconSet" priority="28">
      <iconSet iconSet="3Symbols2" showValue="0">
        <cfvo type="percent" val="0"/>
        <cfvo type="num" val="0" gte="0"/>
        <cfvo type="num" val="1"/>
      </iconSet>
    </cfRule>
  </conditionalFormatting>
  <conditionalFormatting sqref="Q6">
    <cfRule type="iconSet" priority="27">
      <iconSet iconSet="3Symbols2" showValue="0">
        <cfvo type="percent" val="0"/>
        <cfvo type="num" val="0" gte="0"/>
        <cfvo type="num" val="1"/>
      </iconSet>
    </cfRule>
  </conditionalFormatting>
  <conditionalFormatting sqref="P23:P38">
    <cfRule type="containsErrors" dxfId="13" priority="51">
      <formula>ISERROR(P23)</formula>
    </cfRule>
  </conditionalFormatting>
  <conditionalFormatting sqref="Q7">
    <cfRule type="iconSet" priority="24">
      <iconSet iconSet="3Symbols2" showValue="0">
        <cfvo type="percent" val="0"/>
        <cfvo type="num" val="0" gte="0"/>
        <cfvo type="num" val="1"/>
      </iconSet>
    </cfRule>
  </conditionalFormatting>
  <conditionalFormatting sqref="H28">
    <cfRule type="cellIs" dxfId="12" priority="3" operator="between">
      <formula>0</formula>
      <formula>0</formula>
    </cfRule>
    <cfRule type="cellIs" dxfId="11" priority="14" operator="between">
      <formula>0</formula>
      <formula>0</formula>
    </cfRule>
  </conditionalFormatting>
  <conditionalFormatting sqref="H43">
    <cfRule type="cellIs" dxfId="10" priority="13" operator="between">
      <formula>0</formula>
      <formula>0</formula>
    </cfRule>
  </conditionalFormatting>
  <conditionalFormatting sqref="H63">
    <cfRule type="cellIs" dxfId="9" priority="12" operator="between">
      <formula>0</formula>
      <formula>0</formula>
    </cfRule>
  </conditionalFormatting>
  <conditionalFormatting sqref="H77">
    <cfRule type="cellIs" dxfId="8" priority="11" operator="between">
      <formula>0</formula>
      <formula>0</formula>
    </cfRule>
  </conditionalFormatting>
  <conditionalFormatting sqref="H91">
    <cfRule type="cellIs" dxfId="7" priority="10" operator="between">
      <formula>0</formula>
      <formula>0</formula>
    </cfRule>
  </conditionalFormatting>
  <conditionalFormatting sqref="H113">
    <cfRule type="cellIs" dxfId="6" priority="9" operator="between">
      <formula>0</formula>
      <formula>0</formula>
    </cfRule>
  </conditionalFormatting>
  <conditionalFormatting sqref="H127">
    <cfRule type="cellIs" dxfId="5" priority="8" operator="between">
      <formula>0</formula>
      <formula>0</formula>
    </cfRule>
  </conditionalFormatting>
  <conditionalFormatting sqref="H141">
    <cfRule type="cellIs" dxfId="4" priority="7" operator="between">
      <formula>0</formula>
      <formula>0</formula>
    </cfRule>
  </conditionalFormatting>
  <conditionalFormatting sqref="H163">
    <cfRule type="cellIs" dxfId="3" priority="6" operator="between">
      <formula>0</formula>
      <formula>0</formula>
    </cfRule>
  </conditionalFormatting>
  <conditionalFormatting sqref="H177">
    <cfRule type="cellIs" dxfId="2" priority="5" operator="between">
      <formula>0</formula>
      <formula>0</formula>
    </cfRule>
  </conditionalFormatting>
  <conditionalFormatting sqref="H192">
    <cfRule type="cellIs" dxfId="1" priority="4" operator="between">
      <formula>0</formula>
      <formula>0</formula>
    </cfRule>
  </conditionalFormatting>
  <conditionalFormatting sqref="P39">
    <cfRule type="containsErrors" dxfId="0" priority="2">
      <formula>ISERROR(P39)</formula>
    </cfRule>
  </conditionalFormatting>
  <dataValidations count="9">
    <dataValidation type="list" allowBlank="1" showInputMessage="1" showErrorMessage="1" sqref="C166:D166 C17:D17 C32:D32 C52:D52 C66:D66 C80:D80 C102:D102 C116:D116 C130:D130 C152:D152 C181:D181">
      <formula1>"Summer, Fall, J-Term, Spring"</formula1>
    </dataValidation>
    <dataValidation type="list" allowBlank="1" showInputMessage="1" showErrorMessage="1" sqref="G32 G52 G66 G80 G102 G116 G130 G152 G166 E17 G17 E32 E52 E66 E80 E102 E116 E130 E152 E166 E181 G181">
      <formula1>"2016, 2017, 2018, 2019, 2020, 2021, 2022, 2023, 2024, 2025"</formula1>
    </dataValidation>
    <dataValidation type="list" allowBlank="1" showInputMessage="1" showErrorMessage="1" sqref="C19:C28 C34:C43 C54:C63 C68:C77 C82:C91 C104:C113 C118:C127 C132:C141 C154:C163 C168:C177 C183:C192">
      <formula1>CourseNumber</formula1>
    </dataValidation>
    <dataValidation type="list" allowBlank="1" showInputMessage="1" showErrorMessage="1" sqref="A15">
      <formula1>Course</formula1>
    </dataValidation>
    <dataValidation type="list" allowBlank="1" showInputMessage="1" showErrorMessage="1" sqref="B19:B27 B34:B42 B54:B62 B68:B76 B82:B90 B104:B112 B118:B126 B132:B140 B154:B162 B168:B176 B183:B191">
      <formula1>CourseCode</formula1>
    </dataValidation>
    <dataValidation type="list" allowBlank="1" showInputMessage="1" showErrorMessage="1" sqref="I19:J27 I34:J42 I54:J62 I68:J76 I82:J90 I104:J112 I118:J126 I132:J140 I154:J162 I168:J176 I183:J191">
      <formula1>Fulfills</formula1>
    </dataValidation>
    <dataValidation type="list" allowBlank="1" showInputMessage="1" showErrorMessage="1" sqref="H19:H27 H34:H42 H54:H62 H68:H76 H82:H90 H104:H112 H118:H126 H132:H140 H154:H162 H168:H176 H183:H191">
      <formula1>Credits</formula1>
    </dataValidation>
    <dataValidation type="list" allowBlank="1" showInputMessage="1" showErrorMessage="1" sqref="H12">
      <formula1>ADVISORS</formula1>
    </dataValidation>
    <dataValidation type="list" allowBlank="1" showInputMessage="1" showErrorMessage="1" sqref="B11">
      <formula1>MAJORS</formula1>
    </dataValidation>
  </dataValidations>
  <pageMargins left="0.5" right="0.41666666666666669" top="0.40625" bottom="0.5" header="0.2" footer="0.2"/>
  <pageSetup orientation="portrait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0" id="{8963B7A5-9E0E-475B-B7B9-386C602375F3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M23:M32</xm:sqref>
        </x14:conditionalFormatting>
        <x14:conditionalFormatting xmlns:xm="http://schemas.microsoft.com/office/excel/2006/main">
          <x14:cfRule type="iconSet" priority="26" id="{A8CEA629-1D24-4EF2-B34E-966DFA6BD15D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P23:P38</xm:sqref>
        </x14:conditionalFormatting>
        <x14:conditionalFormatting xmlns:xm="http://schemas.microsoft.com/office/excel/2006/main">
          <x14:cfRule type="iconSet" priority="23" id="{BF45CF29-A48E-459E-ACFC-1DCCDFB69001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Q4</xm:sqref>
        </x14:conditionalFormatting>
        <x14:conditionalFormatting xmlns:xm="http://schemas.microsoft.com/office/excel/2006/main">
          <x14:cfRule type="iconSet" priority="22" id="{FC4B985C-20C4-46CF-AB83-5C819DBBB7BB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9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M43</xm:sqref>
        </x14:conditionalFormatting>
        <x14:conditionalFormatting xmlns:xm="http://schemas.microsoft.com/office/excel/2006/main">
          <x14:cfRule type="iconSet" priority="21" id="{07344C70-577B-46D9-89A1-345CDCE45D55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12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Q43</xm:sqref>
        </x14:conditionalFormatting>
        <x14:conditionalFormatting xmlns:xm="http://schemas.microsoft.com/office/excel/2006/main">
          <x14:cfRule type="iconSet" priority="20" id="{41903C2A-E665-4DE6-BE75-2A16E98247A3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15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Q9</xm:sqref>
        </x14:conditionalFormatting>
        <x14:conditionalFormatting xmlns:xm="http://schemas.microsoft.com/office/excel/2006/main">
          <x14:cfRule type="iconSet" priority="17" id="{234DA7BF-CF43-41DC-9208-84BF885821B5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80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P74:P75</xm:sqref>
        </x14:conditionalFormatting>
        <x14:conditionalFormatting xmlns:xm="http://schemas.microsoft.com/office/excel/2006/main">
          <x14:cfRule type="iconSet" priority="16" id="{A2866D62-7FA5-404B-BC1E-48B668692960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48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P99</xm:sqref>
        </x14:conditionalFormatting>
        <x14:conditionalFormatting xmlns:xm="http://schemas.microsoft.com/office/excel/2006/main">
          <x14:cfRule type="iconSet" priority="15" id="{288A8BE0-A01B-4B0D-BFE0-044C044E6B53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40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P123:P124</xm:sqref>
        </x14:conditionalFormatting>
        <x14:conditionalFormatting xmlns:xm="http://schemas.microsoft.com/office/excel/2006/main">
          <x14:cfRule type="iconSet" priority="1" id="{6FE21692-6563-4280-AD34-F859815811B3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124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O129:O130</xm:sqref>
        </x14:conditionalFormatting>
      </x14:conditionalFormattings>
    </ext>
    <ext xmlns:mx="http://schemas.microsoft.com/office/mac/excel/2008/main" uri="{64002731-A6B0-56B0-2670-7721B7C09600}">
      <mx:PLV Mode="1" OnePage="0" WScale="10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 enableFormatConditionsCalculation="0"/>
  <dimension ref="A1:B31"/>
  <sheetViews>
    <sheetView showGridLines="0" workbookViewId="0">
      <selection activeCell="G16" sqref="G16"/>
    </sheetView>
  </sheetViews>
  <sheetFormatPr baseColWidth="10" defaultColWidth="8.83203125" defaultRowHeight="15" x14ac:dyDescent="0.2"/>
  <cols>
    <col min="2" max="2" width="59" bestFit="1" customWidth="1"/>
  </cols>
  <sheetData>
    <row r="1" spans="1:2" x14ac:dyDescent="0.2">
      <c r="A1" s="8" t="s">
        <v>1265</v>
      </c>
      <c r="B1" s="8" t="s">
        <v>1273</v>
      </c>
    </row>
    <row r="2" spans="1:2" x14ac:dyDescent="0.2">
      <c r="A2" s="8" t="s">
        <v>1256</v>
      </c>
      <c r="B2" s="8" t="s">
        <v>1273</v>
      </c>
    </row>
    <row r="3" spans="1:2" x14ac:dyDescent="0.2">
      <c r="A3" s="8" t="s">
        <v>1266</v>
      </c>
      <c r="B3" s="8" t="s">
        <v>1274</v>
      </c>
    </row>
    <row r="4" spans="1:2" x14ac:dyDescent="0.2">
      <c r="A4" s="8" t="s">
        <v>1257</v>
      </c>
      <c r="B4" s="8" t="s">
        <v>1274</v>
      </c>
    </row>
    <row r="5" spans="1:2" x14ac:dyDescent="0.2">
      <c r="A5" s="8" t="s">
        <v>1267</v>
      </c>
      <c r="B5" s="8" t="s">
        <v>1275</v>
      </c>
    </row>
    <row r="6" spans="1:2" x14ac:dyDescent="0.2">
      <c r="A6" s="8" t="s">
        <v>1259</v>
      </c>
      <c r="B6" s="8" t="s">
        <v>1275</v>
      </c>
    </row>
    <row r="7" spans="1:2" x14ac:dyDescent="0.2">
      <c r="A7" s="8" t="s">
        <v>1268</v>
      </c>
      <c r="B7" s="8" t="s">
        <v>1276</v>
      </c>
    </row>
    <row r="8" spans="1:2" x14ac:dyDescent="0.2">
      <c r="A8" s="8" t="s">
        <v>1258</v>
      </c>
      <c r="B8" s="8" t="s">
        <v>1276</v>
      </c>
    </row>
    <row r="9" spans="1:2" x14ac:dyDescent="0.2">
      <c r="A9" s="8" t="s">
        <v>1282</v>
      </c>
      <c r="B9" s="8" t="s">
        <v>1283</v>
      </c>
    </row>
    <row r="10" spans="1:2" x14ac:dyDescent="0.2">
      <c r="A10" s="8" t="s">
        <v>760</v>
      </c>
      <c r="B10" s="8" t="s">
        <v>1277</v>
      </c>
    </row>
    <row r="11" spans="1:2" x14ac:dyDescent="0.2">
      <c r="A11" s="8" t="s">
        <v>1260</v>
      </c>
      <c r="B11" s="8" t="s">
        <v>1277</v>
      </c>
    </row>
    <row r="12" spans="1:2" x14ac:dyDescent="0.2">
      <c r="A12" s="8" t="s">
        <v>762</v>
      </c>
      <c r="B12" s="8" t="s">
        <v>763</v>
      </c>
    </row>
    <row r="13" spans="1:2" x14ac:dyDescent="0.2">
      <c r="A13" s="8" t="s">
        <v>1269</v>
      </c>
      <c r="B13" s="8" t="s">
        <v>1278</v>
      </c>
    </row>
    <row r="14" spans="1:2" x14ac:dyDescent="0.2">
      <c r="A14" s="8" t="s">
        <v>1261</v>
      </c>
      <c r="B14" s="8" t="s">
        <v>1278</v>
      </c>
    </row>
    <row r="15" spans="1:2" x14ac:dyDescent="0.2">
      <c r="A15" s="8" t="s">
        <v>1270</v>
      </c>
      <c r="B15" s="8" t="s">
        <v>1279</v>
      </c>
    </row>
    <row r="16" spans="1:2" x14ac:dyDescent="0.2">
      <c r="A16" s="8" t="s">
        <v>1262</v>
      </c>
      <c r="B16" s="8" t="s">
        <v>1279</v>
      </c>
    </row>
    <row r="17" spans="1:2" x14ac:dyDescent="0.2">
      <c r="A17" s="8" t="s">
        <v>1271</v>
      </c>
      <c r="B17" s="8" t="s">
        <v>1280</v>
      </c>
    </row>
    <row r="18" spans="1:2" x14ac:dyDescent="0.2">
      <c r="A18" s="8" t="s">
        <v>1263</v>
      </c>
      <c r="B18" s="8" t="s">
        <v>1280</v>
      </c>
    </row>
    <row r="19" spans="1:2" x14ac:dyDescent="0.2">
      <c r="A19" s="8" t="s">
        <v>1284</v>
      </c>
      <c r="B19" s="8" t="s">
        <v>1285</v>
      </c>
    </row>
    <row r="20" spans="1:2" x14ac:dyDescent="0.2">
      <c r="A20" s="8" t="s">
        <v>1272</v>
      </c>
      <c r="B20" s="8" t="s">
        <v>1281</v>
      </c>
    </row>
    <row r="21" spans="1:2" x14ac:dyDescent="0.2">
      <c r="A21" s="8" t="s">
        <v>1264</v>
      </c>
      <c r="B21" s="8" t="s">
        <v>1281</v>
      </c>
    </row>
    <row r="22" spans="1:2" x14ac:dyDescent="0.2">
      <c r="A22" s="8" t="s">
        <v>501</v>
      </c>
      <c r="B22" s="8" t="s">
        <v>650</v>
      </c>
    </row>
    <row r="23" spans="1:2" x14ac:dyDescent="0.2">
      <c r="A23" s="8" t="s">
        <v>1286</v>
      </c>
      <c r="B23" s="8" t="s">
        <v>1287</v>
      </c>
    </row>
    <row r="24" spans="1:2" x14ac:dyDescent="0.2">
      <c r="A24" s="8" t="s">
        <v>338</v>
      </c>
      <c r="B24" s="8" t="s">
        <v>339</v>
      </c>
    </row>
    <row r="25" spans="1:2" x14ac:dyDescent="0.2">
      <c r="A25" s="8" t="s">
        <v>1288</v>
      </c>
      <c r="B25" s="8" t="s">
        <v>1289</v>
      </c>
    </row>
    <row r="26" spans="1:2" x14ac:dyDescent="0.2">
      <c r="A26" s="8" t="s">
        <v>1290</v>
      </c>
      <c r="B26" s="8" t="s">
        <v>1291</v>
      </c>
    </row>
    <row r="27" spans="1:2" x14ac:dyDescent="0.2">
      <c r="A27" s="159" t="s">
        <v>1112</v>
      </c>
      <c r="B27" s="160"/>
    </row>
    <row r="28" spans="1:2" x14ac:dyDescent="0.2">
      <c r="A28" s="163" t="s">
        <v>1113</v>
      </c>
      <c r="B28" s="164"/>
    </row>
    <row r="29" spans="1:2" x14ac:dyDescent="0.2">
      <c r="A29" s="163" t="s">
        <v>1114</v>
      </c>
      <c r="B29" s="164"/>
    </row>
    <row r="30" spans="1:2" x14ac:dyDescent="0.2">
      <c r="A30" s="163" t="s">
        <v>1115</v>
      </c>
      <c r="B30" s="164"/>
    </row>
    <row r="31" spans="1:2" x14ac:dyDescent="0.2">
      <c r="A31" s="161" t="s">
        <v>1116</v>
      </c>
      <c r="B31" s="162"/>
    </row>
  </sheetData>
  <sheetProtection algorithmName="SHA-512" hashValue="M5vcxo0SDROPkp0qqUVywTKL2XbTZ0DlDhQNvrtU8zgjVDzg+XhE7f6pXBH75ovRlmpYFliexxoTe5upq3DJ2Q==" saltValue="bKbAtbdH/Pfv1ev06lx5Rg==" spinCount="100000" sheet="1" objects="1" scenarios="1" selectLockedCells="1"/>
  <mergeCells count="5">
    <mergeCell ref="A31:B31"/>
    <mergeCell ref="A30:B30"/>
    <mergeCell ref="A29:B29"/>
    <mergeCell ref="A28:B28"/>
    <mergeCell ref="A27:B2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 enableFormatConditionsCalculation="0"/>
  <dimension ref="A1:B34"/>
  <sheetViews>
    <sheetView showGridLines="0" workbookViewId="0">
      <selection activeCell="C16" sqref="C16"/>
    </sheetView>
  </sheetViews>
  <sheetFormatPr baseColWidth="10" defaultColWidth="8.83203125" defaultRowHeight="15" x14ac:dyDescent="0.2"/>
  <cols>
    <col min="2" max="2" width="59" bestFit="1" customWidth="1"/>
  </cols>
  <sheetData>
    <row r="1" spans="1:2" x14ac:dyDescent="0.2">
      <c r="A1" s="8" t="s">
        <v>1298</v>
      </c>
      <c r="B1" s="8" t="s">
        <v>1299</v>
      </c>
    </row>
    <row r="2" spans="1:2" x14ac:dyDescent="0.2">
      <c r="A2" s="8" t="s">
        <v>1298</v>
      </c>
      <c r="B2" s="8" t="s">
        <v>1299</v>
      </c>
    </row>
    <row r="3" spans="1:2" x14ac:dyDescent="0.2">
      <c r="A3" s="8" t="s">
        <v>1300</v>
      </c>
      <c r="B3" s="8" t="s">
        <v>1296</v>
      </c>
    </row>
    <row r="4" spans="1:2" x14ac:dyDescent="0.2">
      <c r="A4" s="8" t="s">
        <v>1295</v>
      </c>
      <c r="B4" s="8" t="s">
        <v>1296</v>
      </c>
    </row>
    <row r="5" spans="1:2" x14ac:dyDescent="0.2">
      <c r="A5" s="8" t="s">
        <v>1269</v>
      </c>
      <c r="B5" s="8" t="s">
        <v>1278</v>
      </c>
    </row>
    <row r="6" spans="1:2" x14ac:dyDescent="0.2">
      <c r="A6" s="8" t="s">
        <v>1261</v>
      </c>
      <c r="B6" s="8" t="s">
        <v>1278</v>
      </c>
    </row>
    <row r="7" spans="1:2" x14ac:dyDescent="0.2">
      <c r="A7" s="8" t="s">
        <v>1301</v>
      </c>
      <c r="B7" s="8" t="s">
        <v>1279</v>
      </c>
    </row>
    <row r="8" spans="1:2" x14ac:dyDescent="0.2">
      <c r="A8" s="8" t="s">
        <v>1302</v>
      </c>
      <c r="B8" s="8" t="s">
        <v>1279</v>
      </c>
    </row>
    <row r="9" spans="1:2" x14ac:dyDescent="0.2">
      <c r="A9" s="8" t="s">
        <v>1271</v>
      </c>
      <c r="B9" s="8" t="s">
        <v>1280</v>
      </c>
    </row>
    <row r="10" spans="1:2" x14ac:dyDescent="0.2">
      <c r="A10" s="8" t="s">
        <v>1297</v>
      </c>
      <c r="B10" s="8" t="s">
        <v>1280</v>
      </c>
    </row>
    <row r="11" spans="1:2" x14ac:dyDescent="0.2">
      <c r="A11" s="8" t="s">
        <v>1303</v>
      </c>
      <c r="B11" s="8" t="s">
        <v>1304</v>
      </c>
    </row>
    <row r="12" spans="1:2" x14ac:dyDescent="0.2">
      <c r="A12" s="8" t="s">
        <v>1305</v>
      </c>
      <c r="B12" s="8" t="s">
        <v>1306</v>
      </c>
    </row>
    <row r="13" spans="1:2" x14ac:dyDescent="0.2">
      <c r="A13" s="8" t="s">
        <v>1307</v>
      </c>
      <c r="B13" s="8" t="s">
        <v>1294</v>
      </c>
    </row>
    <row r="14" spans="1:2" x14ac:dyDescent="0.2">
      <c r="A14" s="8" t="s">
        <v>1308</v>
      </c>
      <c r="B14" s="8" t="s">
        <v>1309</v>
      </c>
    </row>
    <row r="15" spans="1:2" x14ac:dyDescent="0.2">
      <c r="A15" s="8" t="s">
        <v>1310</v>
      </c>
      <c r="B15" s="8" t="s">
        <v>1311</v>
      </c>
    </row>
    <row r="16" spans="1:2" x14ac:dyDescent="0.2">
      <c r="A16" s="8" t="s">
        <v>1293</v>
      </c>
      <c r="B16" s="8" t="s">
        <v>1294</v>
      </c>
    </row>
    <row r="17" spans="1:2" x14ac:dyDescent="0.2">
      <c r="A17" s="8" t="s">
        <v>1312</v>
      </c>
      <c r="B17" s="8" t="s">
        <v>1313</v>
      </c>
    </row>
    <row r="18" spans="1:2" x14ac:dyDescent="0.2">
      <c r="A18" s="8" t="s">
        <v>512</v>
      </c>
      <c r="B18" s="8" t="s">
        <v>633</v>
      </c>
    </row>
    <row r="19" spans="1:2" x14ac:dyDescent="0.2">
      <c r="A19" s="8" t="s">
        <v>1314</v>
      </c>
      <c r="B19" s="8" t="s">
        <v>1315</v>
      </c>
    </row>
    <row r="20" spans="1:2" x14ac:dyDescent="0.2">
      <c r="A20" s="8" t="s">
        <v>1314</v>
      </c>
      <c r="B20" s="8" t="s">
        <v>1320</v>
      </c>
    </row>
    <row r="21" spans="1:2" x14ac:dyDescent="0.2">
      <c r="A21" s="8" t="s">
        <v>1316</v>
      </c>
      <c r="B21" s="8" t="s">
        <v>1317</v>
      </c>
    </row>
    <row r="22" spans="1:2" x14ac:dyDescent="0.2">
      <c r="A22" s="8" t="s">
        <v>1318</v>
      </c>
      <c r="B22" s="8" t="s">
        <v>1319</v>
      </c>
    </row>
    <row r="23" spans="1:2" x14ac:dyDescent="0.2">
      <c r="A23" s="8" t="s">
        <v>1318</v>
      </c>
      <c r="B23" s="8" t="s">
        <v>1321</v>
      </c>
    </row>
    <row r="24" spans="1:2" x14ac:dyDescent="0.2">
      <c r="A24" s="8" t="s">
        <v>1288</v>
      </c>
      <c r="B24" s="8" t="s">
        <v>1289</v>
      </c>
    </row>
    <row r="25" spans="1:2" x14ac:dyDescent="0.2">
      <c r="A25" s="17" t="s">
        <v>1290</v>
      </c>
      <c r="B25" s="17" t="s">
        <v>1291</v>
      </c>
    </row>
    <row r="26" spans="1:2" x14ac:dyDescent="0.2">
      <c r="A26" s="18" t="s">
        <v>1117</v>
      </c>
      <c r="B26" s="19"/>
    </row>
    <row r="27" spans="1:2" x14ac:dyDescent="0.2">
      <c r="A27" s="18" t="s">
        <v>1118</v>
      </c>
      <c r="B27" s="19"/>
    </row>
    <row r="28" spans="1:2" x14ac:dyDescent="0.2">
      <c r="A28" s="18" t="s">
        <v>1119</v>
      </c>
      <c r="B28" s="19"/>
    </row>
    <row r="29" spans="1:2" x14ac:dyDescent="0.2">
      <c r="A29" s="18" t="s">
        <v>1120</v>
      </c>
      <c r="B29" s="19"/>
    </row>
    <row r="30" spans="1:2" x14ac:dyDescent="0.2">
      <c r="A30" s="18" t="s">
        <v>1121</v>
      </c>
      <c r="B30" s="19"/>
    </row>
    <row r="31" spans="1:2" x14ac:dyDescent="0.2">
      <c r="A31" s="18" t="s">
        <v>1122</v>
      </c>
      <c r="B31" s="19"/>
    </row>
    <row r="32" spans="1:2" x14ac:dyDescent="0.2">
      <c r="A32" s="18" t="s">
        <v>1123</v>
      </c>
      <c r="B32" s="19"/>
    </row>
    <row r="33" spans="1:2" x14ac:dyDescent="0.2">
      <c r="A33" s="18" t="s">
        <v>1124</v>
      </c>
      <c r="B33" s="19"/>
    </row>
    <row r="34" spans="1:2" x14ac:dyDescent="0.2">
      <c r="A34" s="18" t="s">
        <v>1125</v>
      </c>
      <c r="B34" s="19"/>
    </row>
  </sheetData>
  <sheetProtection algorithmName="SHA-512" hashValue="cFrf/kNlxeJKGWKk0gvAw6Gr3MvIhZWgDN1kt0cvVQxL0BMmHTm8wPWy2LX3GMiiYfRXkoIqSiSHIPka+Vw6eQ==" saltValue="kHzb0tcjuWzN7/fpCDx4LA==" spinCount="100000" sheet="1" objects="1" scenarios="1" selectLockedCells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 enableFormatConditionsCalculation="0"/>
  <dimension ref="A1:B17"/>
  <sheetViews>
    <sheetView showGridLines="0" workbookViewId="0">
      <selection activeCell="G21" sqref="G21"/>
    </sheetView>
  </sheetViews>
  <sheetFormatPr baseColWidth="10" defaultColWidth="8.83203125" defaultRowHeight="15" x14ac:dyDescent="0.2"/>
  <cols>
    <col min="2" max="2" width="43.6640625" bestFit="1" customWidth="1"/>
  </cols>
  <sheetData>
    <row r="1" spans="1:2" x14ac:dyDescent="0.2">
      <c r="A1" s="8" t="s">
        <v>1256</v>
      </c>
      <c r="B1" s="8" t="s">
        <v>1273</v>
      </c>
    </row>
    <row r="2" spans="1:2" x14ac:dyDescent="0.2">
      <c r="A2" s="8" t="s">
        <v>1257</v>
      </c>
      <c r="B2" s="8" t="s">
        <v>1274</v>
      </c>
    </row>
    <row r="3" spans="1:2" x14ac:dyDescent="0.2">
      <c r="A3" s="8" t="s">
        <v>1259</v>
      </c>
      <c r="B3" s="8" t="s">
        <v>1275</v>
      </c>
    </row>
    <row r="4" spans="1:2" x14ac:dyDescent="0.2">
      <c r="A4" s="8" t="s">
        <v>1258</v>
      </c>
      <c r="B4" s="8" t="s">
        <v>1276</v>
      </c>
    </row>
    <row r="5" spans="1:2" x14ac:dyDescent="0.2">
      <c r="A5" s="8" t="s">
        <v>1260</v>
      </c>
      <c r="B5" s="8" t="s">
        <v>1277</v>
      </c>
    </row>
    <row r="6" spans="1:2" x14ac:dyDescent="0.2">
      <c r="A6" s="8" t="s">
        <v>1261</v>
      </c>
      <c r="B6" s="8" t="s">
        <v>1278</v>
      </c>
    </row>
    <row r="7" spans="1:2" x14ac:dyDescent="0.2">
      <c r="A7" s="8" t="s">
        <v>1262</v>
      </c>
      <c r="B7" s="8" t="s">
        <v>1279</v>
      </c>
    </row>
    <row r="8" spans="1:2" x14ac:dyDescent="0.2">
      <c r="A8" s="8" t="s">
        <v>1263</v>
      </c>
      <c r="B8" s="8" t="s">
        <v>1280</v>
      </c>
    </row>
    <row r="9" spans="1:2" x14ac:dyDescent="0.2">
      <c r="A9" s="8" t="s">
        <v>1264</v>
      </c>
      <c r="B9" s="8" t="s">
        <v>1281</v>
      </c>
    </row>
    <row r="10" spans="1:2" x14ac:dyDescent="0.2">
      <c r="A10" s="8" t="s">
        <v>338</v>
      </c>
      <c r="B10" s="8" t="s">
        <v>339</v>
      </c>
    </row>
    <row r="11" spans="1:2" x14ac:dyDescent="0.2">
      <c r="A11" s="8" t="s">
        <v>1322</v>
      </c>
      <c r="B11" s="8" t="s">
        <v>1299</v>
      </c>
    </row>
    <row r="12" spans="1:2" x14ac:dyDescent="0.2">
      <c r="A12" s="8" t="s">
        <v>1295</v>
      </c>
      <c r="B12" s="8" t="s">
        <v>1296</v>
      </c>
    </row>
    <row r="13" spans="1:2" x14ac:dyDescent="0.2">
      <c r="A13" s="8" t="s">
        <v>1261</v>
      </c>
      <c r="B13" s="8" t="s">
        <v>1278</v>
      </c>
    </row>
    <row r="14" spans="1:2" x14ac:dyDescent="0.2">
      <c r="A14" s="8" t="s">
        <v>1302</v>
      </c>
      <c r="B14" s="8" t="s">
        <v>1279</v>
      </c>
    </row>
    <row r="15" spans="1:2" x14ac:dyDescent="0.2">
      <c r="A15" s="8" t="s">
        <v>1297</v>
      </c>
      <c r="B15" s="8" t="s">
        <v>1280</v>
      </c>
    </row>
    <row r="16" spans="1:2" x14ac:dyDescent="0.2">
      <c r="A16" s="8" t="s">
        <v>1314</v>
      </c>
      <c r="B16" s="8" t="s">
        <v>1320</v>
      </c>
    </row>
    <row r="17" spans="1:2" x14ac:dyDescent="0.2">
      <c r="A17" s="8" t="s">
        <v>1318</v>
      </c>
      <c r="B17" s="8" t="s">
        <v>1321</v>
      </c>
    </row>
  </sheetData>
  <sheetProtection algorithmName="SHA-512" hashValue="kCYGkud57ZYRA17NcTpf/LSnZEExvhI0wIX18748Ns1vR/w8tzf2gklTv3SG6d+fIJH7MVOgTcgBOuqBGp5MLw==" saltValue="NXPXVQPYWKfvvSEwsj3XwA==" spinCount="100000" sheet="1" objects="1" scenarios="1" selectLockedCells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 enableFormatConditionsCalculation="0"/>
  <dimension ref="A1:B24"/>
  <sheetViews>
    <sheetView showGridLines="0" workbookViewId="0">
      <selection activeCell="B28" sqref="B28"/>
    </sheetView>
  </sheetViews>
  <sheetFormatPr baseColWidth="10" defaultColWidth="8.83203125" defaultRowHeight="15" x14ac:dyDescent="0.2"/>
  <cols>
    <col min="2" max="2" width="48.83203125" bestFit="1" customWidth="1"/>
  </cols>
  <sheetData>
    <row r="1" spans="1:2" x14ac:dyDescent="0.2">
      <c r="A1" s="8" t="s">
        <v>525</v>
      </c>
      <c r="B1" s="8" t="s">
        <v>526</v>
      </c>
    </row>
    <row r="2" spans="1:2" x14ac:dyDescent="0.2">
      <c r="A2" s="8" t="s">
        <v>1136</v>
      </c>
      <c r="B2" s="8" t="s">
        <v>1137</v>
      </c>
    </row>
    <row r="3" spans="1:2" x14ac:dyDescent="0.2">
      <c r="A3" s="8" t="s">
        <v>1138</v>
      </c>
      <c r="B3" s="8" t="s">
        <v>1139</v>
      </c>
    </row>
    <row r="4" spans="1:2" x14ac:dyDescent="0.2">
      <c r="A4" s="8" t="s">
        <v>1140</v>
      </c>
      <c r="B4" s="8" t="s">
        <v>1141</v>
      </c>
    </row>
    <row r="5" spans="1:2" x14ac:dyDescent="0.2">
      <c r="A5" s="8" t="s">
        <v>1142</v>
      </c>
      <c r="B5" s="8" t="s">
        <v>1143</v>
      </c>
    </row>
    <row r="6" spans="1:2" x14ac:dyDescent="0.2">
      <c r="A6" s="8" t="s">
        <v>1144</v>
      </c>
      <c r="B6" s="8" t="s">
        <v>1145</v>
      </c>
    </row>
    <row r="7" spans="1:2" x14ac:dyDescent="0.2">
      <c r="A7" s="8" t="s">
        <v>1146</v>
      </c>
      <c r="B7" s="8" t="s">
        <v>1147</v>
      </c>
    </row>
    <row r="8" spans="1:2" x14ac:dyDescent="0.2">
      <c r="A8" s="8" t="s">
        <v>1148</v>
      </c>
      <c r="B8" s="8" t="s">
        <v>1149</v>
      </c>
    </row>
    <row r="9" spans="1:2" x14ac:dyDescent="0.2">
      <c r="A9" s="8" t="s">
        <v>1150</v>
      </c>
      <c r="B9" s="8" t="s">
        <v>1151</v>
      </c>
    </row>
    <row r="10" spans="1:2" x14ac:dyDescent="0.2">
      <c r="A10" s="8" t="s">
        <v>1152</v>
      </c>
      <c r="B10" s="8" t="s">
        <v>1153</v>
      </c>
    </row>
    <row r="11" spans="1:2" x14ac:dyDescent="0.2">
      <c r="A11" s="8" t="s">
        <v>1154</v>
      </c>
      <c r="B11" s="8" t="s">
        <v>1155</v>
      </c>
    </row>
    <row r="12" spans="1:2" x14ac:dyDescent="0.2">
      <c r="A12" s="8" t="s">
        <v>1156</v>
      </c>
      <c r="B12" s="8" t="s">
        <v>1157</v>
      </c>
    </row>
    <row r="13" spans="1:2" x14ac:dyDescent="0.2">
      <c r="A13" s="8" t="s">
        <v>408</v>
      </c>
      <c r="B13" s="8" t="s">
        <v>421</v>
      </c>
    </row>
    <row r="14" spans="1:2" x14ac:dyDescent="0.2">
      <c r="A14" s="8" t="s">
        <v>1158</v>
      </c>
      <c r="B14" s="8" t="s">
        <v>1159</v>
      </c>
    </row>
    <row r="15" spans="1:2" x14ac:dyDescent="0.2">
      <c r="A15" s="8" t="s">
        <v>410</v>
      </c>
      <c r="B15" s="8" t="s">
        <v>425</v>
      </c>
    </row>
    <row r="16" spans="1:2" x14ac:dyDescent="0.2">
      <c r="A16" s="8" t="s">
        <v>624</v>
      </c>
      <c r="B16" s="8" t="s">
        <v>1160</v>
      </c>
    </row>
    <row r="17" spans="1:2" x14ac:dyDescent="0.2">
      <c r="A17" s="8" t="s">
        <v>1161</v>
      </c>
      <c r="B17" s="8" t="s">
        <v>1162</v>
      </c>
    </row>
    <row r="18" spans="1:2" x14ac:dyDescent="0.2">
      <c r="A18" s="8" t="s">
        <v>626</v>
      </c>
      <c r="B18" s="8" t="s">
        <v>627</v>
      </c>
    </row>
    <row r="19" spans="1:2" x14ac:dyDescent="0.2">
      <c r="A19" s="11" t="s">
        <v>1126</v>
      </c>
      <c r="B19" s="12"/>
    </row>
    <row r="20" spans="1:2" x14ac:dyDescent="0.2">
      <c r="A20" s="13" t="s">
        <v>1127</v>
      </c>
      <c r="B20" s="14"/>
    </row>
    <row r="21" spans="1:2" x14ac:dyDescent="0.2">
      <c r="A21" s="163" t="s">
        <v>1128</v>
      </c>
      <c r="B21" s="164"/>
    </row>
    <row r="22" spans="1:2" x14ac:dyDescent="0.2">
      <c r="A22" s="13" t="s">
        <v>1129</v>
      </c>
      <c r="B22" s="14"/>
    </row>
    <row r="23" spans="1:2" x14ac:dyDescent="0.2">
      <c r="A23" s="13" t="s">
        <v>1130</v>
      </c>
      <c r="B23" s="14"/>
    </row>
    <row r="24" spans="1:2" x14ac:dyDescent="0.2">
      <c r="A24" s="15" t="s">
        <v>1131</v>
      </c>
      <c r="B24" s="16"/>
    </row>
  </sheetData>
  <sheetProtection algorithmName="SHA-512" hashValue="uQPb/c6PoeFkxNRyaCvWvTzY4IrVQNQPe2nHrWzxQsIP/2on7a8tyoOTOkvYi7dqhadav4aBT6SyPqb+EpJ0+g==" saltValue="q7KEI0kGUkL7Nik/jOFTRw==" spinCount="100000" sheet="1" objects="1" scenarios="1" selectLockedCells="1"/>
  <mergeCells count="1">
    <mergeCell ref="A21:B2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 enableFormatConditionsCalculation="0"/>
  <dimension ref="A1:B32"/>
  <sheetViews>
    <sheetView showGridLines="0" workbookViewId="0">
      <selection activeCell="H27" sqref="H27"/>
    </sheetView>
  </sheetViews>
  <sheetFormatPr baseColWidth="10" defaultColWidth="8.83203125" defaultRowHeight="15" x14ac:dyDescent="0.2"/>
  <cols>
    <col min="2" max="2" width="65.6640625" bestFit="1" customWidth="1"/>
  </cols>
  <sheetData>
    <row r="1" spans="1:2" x14ac:dyDescent="0.2">
      <c r="A1" s="8" t="s">
        <v>1166</v>
      </c>
      <c r="B1" s="8" t="s">
        <v>1165</v>
      </c>
    </row>
    <row r="2" spans="1:2" x14ac:dyDescent="0.2">
      <c r="A2" s="8" t="s">
        <v>527</v>
      </c>
      <c r="B2" s="8" t="s">
        <v>24</v>
      </c>
    </row>
    <row r="3" spans="1:2" x14ac:dyDescent="0.2">
      <c r="A3" s="8" t="s">
        <v>1167</v>
      </c>
      <c r="B3" s="8" t="s">
        <v>1168</v>
      </c>
    </row>
    <row r="4" spans="1:2" x14ac:dyDescent="0.2">
      <c r="A4" s="8" t="s">
        <v>1169</v>
      </c>
      <c r="B4" s="8" t="s">
        <v>1170</v>
      </c>
    </row>
    <row r="5" spans="1:2" x14ac:dyDescent="0.2">
      <c r="A5" s="8" t="s">
        <v>1171</v>
      </c>
      <c r="B5" s="8" t="s">
        <v>1172</v>
      </c>
    </row>
    <row r="6" spans="1:2" x14ac:dyDescent="0.2">
      <c r="A6" s="8" t="s">
        <v>1173</v>
      </c>
      <c r="B6" s="8" t="s">
        <v>1174</v>
      </c>
    </row>
    <row r="7" spans="1:2" x14ac:dyDescent="0.2">
      <c r="A7" s="8" t="s">
        <v>536</v>
      </c>
      <c r="B7" s="8" t="s">
        <v>1175</v>
      </c>
    </row>
    <row r="8" spans="1:2" x14ac:dyDescent="0.2">
      <c r="A8" s="8" t="s">
        <v>1176</v>
      </c>
      <c r="B8" s="8" t="s">
        <v>1177</v>
      </c>
    </row>
    <row r="9" spans="1:2" x14ac:dyDescent="0.2">
      <c r="A9" s="8" t="s">
        <v>517</v>
      </c>
      <c r="B9" s="8" t="s">
        <v>637</v>
      </c>
    </row>
    <row r="10" spans="1:2" x14ac:dyDescent="0.2">
      <c r="A10" s="8" t="s">
        <v>1178</v>
      </c>
      <c r="B10" s="8" t="s">
        <v>1179</v>
      </c>
    </row>
    <row r="11" spans="1:2" x14ac:dyDescent="0.2">
      <c r="A11" s="8" t="s">
        <v>1180</v>
      </c>
      <c r="B11" s="8" t="s">
        <v>1181</v>
      </c>
    </row>
    <row r="12" spans="1:2" x14ac:dyDescent="0.2">
      <c r="A12" s="8" t="s">
        <v>164</v>
      </c>
      <c r="B12" s="8" t="s">
        <v>1182</v>
      </c>
    </row>
    <row r="13" spans="1:2" x14ac:dyDescent="0.2">
      <c r="A13" s="8" t="s">
        <v>1183</v>
      </c>
      <c r="B13" s="8" t="s">
        <v>1184</v>
      </c>
    </row>
    <row r="14" spans="1:2" x14ac:dyDescent="0.2">
      <c r="A14" s="8" t="s">
        <v>575</v>
      </c>
      <c r="B14" s="8" t="s">
        <v>576</v>
      </c>
    </row>
    <row r="15" spans="1:2" x14ac:dyDescent="0.2">
      <c r="A15" s="8" t="s">
        <v>1185</v>
      </c>
      <c r="B15" s="8" t="s">
        <v>1186</v>
      </c>
    </row>
    <row r="16" spans="1:2" x14ac:dyDescent="0.2">
      <c r="A16" s="8" t="s">
        <v>1187</v>
      </c>
      <c r="B16" s="8" t="s">
        <v>1188</v>
      </c>
    </row>
    <row r="17" spans="1:2" x14ac:dyDescent="0.2">
      <c r="A17" s="8" t="s">
        <v>584</v>
      </c>
      <c r="B17" s="8" t="s">
        <v>585</v>
      </c>
    </row>
    <row r="18" spans="1:2" x14ac:dyDescent="0.2">
      <c r="A18" s="8" t="s">
        <v>587</v>
      </c>
      <c r="B18" s="8" t="s">
        <v>588</v>
      </c>
    </row>
    <row r="19" spans="1:2" x14ac:dyDescent="0.2">
      <c r="A19" s="8" t="s">
        <v>488</v>
      </c>
      <c r="B19" s="8" t="s">
        <v>1168</v>
      </c>
    </row>
    <row r="20" spans="1:2" x14ac:dyDescent="0.2">
      <c r="A20" s="8" t="s">
        <v>1163</v>
      </c>
      <c r="B20" s="8" t="s">
        <v>1165</v>
      </c>
    </row>
    <row r="21" spans="1:2" x14ac:dyDescent="0.2">
      <c r="A21" s="8" t="s">
        <v>1189</v>
      </c>
      <c r="B21" s="8" t="s">
        <v>1190</v>
      </c>
    </row>
    <row r="22" spans="1:2" x14ac:dyDescent="0.2">
      <c r="A22" s="8" t="s">
        <v>480</v>
      </c>
      <c r="B22" s="8" t="s">
        <v>683</v>
      </c>
    </row>
    <row r="23" spans="1:2" x14ac:dyDescent="0.2">
      <c r="A23" s="8" t="s">
        <v>437</v>
      </c>
      <c r="B23" s="8" t="s">
        <v>1191</v>
      </c>
    </row>
    <row r="24" spans="1:2" x14ac:dyDescent="0.2">
      <c r="A24" s="8" t="s">
        <v>1164</v>
      </c>
      <c r="B24" s="8" t="s">
        <v>1165</v>
      </c>
    </row>
    <row r="25" spans="1:2" x14ac:dyDescent="0.2">
      <c r="A25" s="8" t="s">
        <v>1192</v>
      </c>
      <c r="B25" s="8" t="s">
        <v>1193</v>
      </c>
    </row>
    <row r="26" spans="1:2" x14ac:dyDescent="0.2">
      <c r="A26" s="8" t="s">
        <v>1194</v>
      </c>
      <c r="B26" s="8" t="s">
        <v>1195</v>
      </c>
    </row>
    <row r="27" spans="1:2" x14ac:dyDescent="0.2">
      <c r="A27" s="8" t="s">
        <v>914</v>
      </c>
      <c r="B27" s="8" t="s">
        <v>1196</v>
      </c>
    </row>
    <row r="28" spans="1:2" x14ac:dyDescent="0.2">
      <c r="A28" s="8" t="s">
        <v>1197</v>
      </c>
      <c r="B28" s="8" t="s">
        <v>1198</v>
      </c>
    </row>
    <row r="29" spans="1:2" x14ac:dyDescent="0.2">
      <c r="A29" s="8" t="s">
        <v>440</v>
      </c>
      <c r="B29" s="8" t="s">
        <v>637</v>
      </c>
    </row>
    <row r="30" spans="1:2" x14ac:dyDescent="0.2">
      <c r="A30" s="8" t="s">
        <v>1199</v>
      </c>
      <c r="B30" s="8" t="s">
        <v>1200</v>
      </c>
    </row>
    <row r="31" spans="1:2" x14ac:dyDescent="0.2">
      <c r="A31" s="8" t="s">
        <v>1201</v>
      </c>
      <c r="B31" s="8" t="s">
        <v>1202</v>
      </c>
    </row>
    <row r="32" spans="1:2" x14ac:dyDescent="0.2">
      <c r="A32" s="8" t="s">
        <v>1203</v>
      </c>
      <c r="B32" s="8" t="s">
        <v>1204</v>
      </c>
    </row>
  </sheetData>
  <sheetProtection algorithmName="SHA-512" hashValue="Qufp3vwamEoaBytvUBGOeU2Gi7dLQuK2J2Qjjgg8E6x4fsOuOPHC1+X5DTCGklu8af2dm3q49dXJ5gAnJPgC5A==" saltValue="JdLQvuph9/zMABEJG3+COA==" spinCount="100000" sheet="1" objects="1" scenarios="1" selectLockedCells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 enableFormatConditionsCalculation="0"/>
  <dimension ref="A1:B35"/>
  <sheetViews>
    <sheetView showGridLines="0" workbookViewId="0">
      <selection activeCell="F22" sqref="F22"/>
    </sheetView>
  </sheetViews>
  <sheetFormatPr baseColWidth="10" defaultColWidth="8.83203125" defaultRowHeight="15" x14ac:dyDescent="0.2"/>
  <cols>
    <col min="2" max="2" width="45.5" bestFit="1" customWidth="1"/>
  </cols>
  <sheetData>
    <row r="1" spans="1:2" x14ac:dyDescent="0.2">
      <c r="A1" s="8" t="s">
        <v>767</v>
      </c>
      <c r="B1" s="8" t="s">
        <v>1205</v>
      </c>
    </row>
    <row r="2" spans="1:2" x14ac:dyDescent="0.2">
      <c r="A2" s="8" t="s">
        <v>540</v>
      </c>
      <c r="B2" s="8" t="s">
        <v>541</v>
      </c>
    </row>
    <row r="3" spans="1:2" x14ac:dyDescent="0.2">
      <c r="A3" s="8" t="s">
        <v>542</v>
      </c>
      <c r="B3" s="8" t="s">
        <v>543</v>
      </c>
    </row>
    <row r="4" spans="1:2" x14ac:dyDescent="0.2">
      <c r="A4" s="8" t="s">
        <v>1206</v>
      </c>
      <c r="B4" s="8" t="s">
        <v>1207</v>
      </c>
    </row>
    <row r="5" spans="1:2" x14ac:dyDescent="0.2">
      <c r="A5" s="8" t="s">
        <v>1208</v>
      </c>
      <c r="B5" s="8" t="s">
        <v>1209</v>
      </c>
    </row>
    <row r="6" spans="1:2" x14ac:dyDescent="0.2">
      <c r="A6" s="8" t="s">
        <v>1210</v>
      </c>
      <c r="B6" s="8" t="s">
        <v>1211</v>
      </c>
    </row>
    <row r="7" spans="1:2" x14ac:dyDescent="0.2">
      <c r="A7" s="8" t="s">
        <v>1212</v>
      </c>
      <c r="B7" s="8" t="s">
        <v>1213</v>
      </c>
    </row>
    <row r="8" spans="1:2" x14ac:dyDescent="0.2">
      <c r="A8" s="8" t="s">
        <v>1214</v>
      </c>
      <c r="B8" s="8" t="s">
        <v>1215</v>
      </c>
    </row>
    <row r="9" spans="1:2" x14ac:dyDescent="0.2">
      <c r="A9" s="8" t="s">
        <v>1216</v>
      </c>
      <c r="B9" s="8" t="s">
        <v>1217</v>
      </c>
    </row>
    <row r="10" spans="1:2" x14ac:dyDescent="0.2">
      <c r="A10" s="8" t="s">
        <v>1218</v>
      </c>
      <c r="B10" s="8" t="s">
        <v>1219</v>
      </c>
    </row>
    <row r="11" spans="1:2" x14ac:dyDescent="0.2">
      <c r="A11" s="8" t="s">
        <v>1220</v>
      </c>
      <c r="B11" s="8" t="s">
        <v>1221</v>
      </c>
    </row>
    <row r="12" spans="1:2" x14ac:dyDescent="0.2">
      <c r="A12" s="8" t="s">
        <v>1222</v>
      </c>
      <c r="B12" s="8" t="s">
        <v>1223</v>
      </c>
    </row>
    <row r="13" spans="1:2" x14ac:dyDescent="0.2">
      <c r="A13" s="8" t="s">
        <v>1224</v>
      </c>
      <c r="B13" s="8" t="s">
        <v>1225</v>
      </c>
    </row>
    <row r="14" spans="1:2" x14ac:dyDescent="0.2">
      <c r="A14" s="8" t="s">
        <v>1226</v>
      </c>
      <c r="B14" s="8" t="s">
        <v>1227</v>
      </c>
    </row>
    <row r="15" spans="1:2" x14ac:dyDescent="0.2">
      <c r="A15" s="8" t="s">
        <v>1228</v>
      </c>
      <c r="B15" s="8" t="s">
        <v>1229</v>
      </c>
    </row>
    <row r="16" spans="1:2" x14ac:dyDescent="0.2">
      <c r="A16" s="8" t="s">
        <v>1230</v>
      </c>
      <c r="B16" s="8" t="s">
        <v>1231</v>
      </c>
    </row>
    <row r="17" spans="1:2" x14ac:dyDescent="0.2">
      <c r="A17" s="8" t="s">
        <v>1232</v>
      </c>
      <c r="B17" s="8" t="s">
        <v>1233</v>
      </c>
    </row>
    <row r="18" spans="1:2" x14ac:dyDescent="0.2">
      <c r="A18" s="8" t="s">
        <v>1234</v>
      </c>
      <c r="B18" s="8" t="s">
        <v>1235</v>
      </c>
    </row>
    <row r="19" spans="1:2" x14ac:dyDescent="0.2">
      <c r="A19" s="8" t="s">
        <v>1236</v>
      </c>
      <c r="B19" s="8" t="s">
        <v>1237</v>
      </c>
    </row>
    <row r="20" spans="1:2" x14ac:dyDescent="0.2">
      <c r="A20" s="8" t="s">
        <v>1238</v>
      </c>
      <c r="B20" s="8" t="s">
        <v>1239</v>
      </c>
    </row>
    <row r="21" spans="1:2" x14ac:dyDescent="0.2">
      <c r="A21" s="8" t="s">
        <v>1240</v>
      </c>
      <c r="B21" s="8" t="s">
        <v>1219</v>
      </c>
    </row>
    <row r="22" spans="1:2" x14ac:dyDescent="0.2">
      <c r="A22" s="8" t="s">
        <v>1241</v>
      </c>
      <c r="B22" s="8" t="s">
        <v>1242</v>
      </c>
    </row>
    <row r="23" spans="1:2" x14ac:dyDescent="0.2">
      <c r="A23" s="8" t="s">
        <v>161</v>
      </c>
      <c r="B23" s="8" t="s">
        <v>1243</v>
      </c>
    </row>
    <row r="24" spans="1:2" x14ac:dyDescent="0.2">
      <c r="A24" s="8" t="s">
        <v>374</v>
      </c>
      <c r="B24" s="8" t="s">
        <v>1244</v>
      </c>
    </row>
    <row r="25" spans="1:2" x14ac:dyDescent="0.2">
      <c r="A25" s="8" t="s">
        <v>326</v>
      </c>
      <c r="B25" s="8" t="s">
        <v>1245</v>
      </c>
    </row>
    <row r="26" spans="1:2" x14ac:dyDescent="0.2">
      <c r="A26" s="8" t="s">
        <v>357</v>
      </c>
      <c r="B26" s="8" t="s">
        <v>1246</v>
      </c>
    </row>
    <row r="27" spans="1:2" x14ac:dyDescent="0.2">
      <c r="A27" s="8" t="s">
        <v>1247</v>
      </c>
      <c r="B27" s="8" t="s">
        <v>1248</v>
      </c>
    </row>
    <row r="28" spans="1:2" x14ac:dyDescent="0.2">
      <c r="A28" s="8" t="s">
        <v>1249</v>
      </c>
      <c r="B28" s="8" t="s">
        <v>1250</v>
      </c>
    </row>
    <row r="29" spans="1:2" x14ac:dyDescent="0.2">
      <c r="A29" s="8" t="s">
        <v>1251</v>
      </c>
      <c r="B29" s="8" t="s">
        <v>1252</v>
      </c>
    </row>
    <row r="30" spans="1:2" x14ac:dyDescent="0.2">
      <c r="A30" s="8" t="s">
        <v>1063</v>
      </c>
      <c r="B30" s="8" t="s">
        <v>1064</v>
      </c>
    </row>
    <row r="31" spans="1:2" x14ac:dyDescent="0.2">
      <c r="A31" s="8" t="s">
        <v>1253</v>
      </c>
      <c r="B31" s="8" t="s">
        <v>1254</v>
      </c>
    </row>
    <row r="32" spans="1:2" x14ac:dyDescent="0.2">
      <c r="A32" s="159" t="s">
        <v>1132</v>
      </c>
      <c r="B32" s="160"/>
    </row>
    <row r="33" spans="1:2" x14ac:dyDescent="0.2">
      <c r="A33" s="163" t="s">
        <v>1133</v>
      </c>
      <c r="B33" s="164"/>
    </row>
    <row r="34" spans="1:2" x14ac:dyDescent="0.2">
      <c r="A34" s="163" t="s">
        <v>1134</v>
      </c>
      <c r="B34" s="164"/>
    </row>
    <row r="35" spans="1:2" x14ac:dyDescent="0.2">
      <c r="A35" s="161" t="s">
        <v>1135</v>
      </c>
      <c r="B35" s="162"/>
    </row>
  </sheetData>
  <sheetProtection algorithmName="SHA-512" hashValue="BaYG7gIxJAuCPQjM5coe/6skDsd160LzezsnanFo3Qnt5xq0mpLdSXtfzGSdvbwLrGXkxT8UfPo1mU9B+IfeYA==" saltValue="zzh62d1ql4dVamQylRH+Xw==" spinCount="100000" sheet="1" objects="1" scenarios="1" selectLockedCells="1"/>
  <mergeCells count="4">
    <mergeCell ref="A35:B35"/>
    <mergeCell ref="A34:B34"/>
    <mergeCell ref="A33:B33"/>
    <mergeCell ref="A32:B3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 enableFormatConditionsCalculation="0"/>
  <dimension ref="A1:X106"/>
  <sheetViews>
    <sheetView topLeftCell="A71" workbookViewId="0">
      <selection activeCell="B89" sqref="B89"/>
    </sheetView>
  </sheetViews>
  <sheetFormatPr baseColWidth="10" defaultColWidth="8.83203125" defaultRowHeight="15" x14ac:dyDescent="0.2"/>
  <sheetData>
    <row r="1" spans="1:24" x14ac:dyDescent="0.2">
      <c r="A1" t="s">
        <v>156</v>
      </c>
      <c r="F1" t="s">
        <v>344</v>
      </c>
      <c r="G1" t="s">
        <v>349</v>
      </c>
      <c r="H1" t="s">
        <v>351</v>
      </c>
      <c r="I1" t="s">
        <v>353</v>
      </c>
      <c r="J1" t="s">
        <v>355</v>
      </c>
      <c r="K1" t="s">
        <v>357</v>
      </c>
      <c r="L1" t="s">
        <v>359</v>
      </c>
      <c r="M1" t="s">
        <v>360</v>
      </c>
      <c r="N1" t="s">
        <v>362</v>
      </c>
      <c r="O1" t="s">
        <v>364</v>
      </c>
      <c r="P1" t="s">
        <v>336</v>
      </c>
      <c r="Q1" t="s">
        <v>338</v>
      </c>
      <c r="R1" t="s">
        <v>340</v>
      </c>
      <c r="T1" t="s">
        <v>1372</v>
      </c>
      <c r="W1" t="s">
        <v>1380</v>
      </c>
    </row>
    <row r="2" spans="1:24" x14ac:dyDescent="0.2">
      <c r="A2" t="s">
        <v>157</v>
      </c>
      <c r="B2" t="s">
        <v>167</v>
      </c>
      <c r="C2">
        <v>3</v>
      </c>
      <c r="F2" t="s">
        <v>345</v>
      </c>
      <c r="T2" t="str">
        <f t="array" ref="T2:T10">IFERROR(INDEX(Sheet1!$D$19:$D$27,SMALL(IF(Sheet1!$B$19:$B$27="JMC",IF((Sheet1!$D$19:$D$27&lt;&gt;$A$65:$A$71)*(Sheet1!$D$19:$D$27&lt;&gt;$A$2:$A$9),ROW(Sheet1!$D$19:$D$27)-ROW(Sheet1!$D$19)+1)),ROW()-1),1),"")</f>
        <v/>
      </c>
      <c r="U2" t="str">
        <f t="array" ref="U2:U10">IFERROR(INDEX(Sheet1!$H$19:$H$27,SMALL(IF(Sheet1!$B$19:$B$27="JMC",IF((Sheet1!$D$19:$D$27&lt;&gt;$A$65:$A$71)*(Sheet1!$D$19:$D$27&lt;&gt;$A$2:$A$9),ROW(Sheet1!$D$19:$D$27)-ROW(Sheet1!$D$19)+1)),ROW()-1),1),"")</f>
        <v/>
      </c>
      <c r="W2" t="str">
        <f t="array" ref="W2:W10">IFERROR(INDEX(Sheet1!$D$19:$D$27,SMALL(IF(Sheet1!$D$19:$D$27={"JMC 076","JMC 099","POLS 114","POLS 166"},ROW(Sheet1!$D$19:$D$27)-ROW(Sheet1!$D$19)+1),ROW()-1),1),"")</f>
        <v/>
      </c>
      <c r="X2" t="str">
        <f t="array" ref="X2:X10">IFERROR(INDEX(Sheet1!$H$19:$H$27,SMALL(IF(Sheet1!$D$19:$D$27={"JMC 076","JMC 099","POLS 114","POLS 166"},ROW(Sheet1!$D$19:$D$27)-ROW(Sheet1!$D$19)+1),ROW()-1),1),"")</f>
        <v/>
      </c>
    </row>
    <row r="3" spans="1:24" x14ac:dyDescent="0.2">
      <c r="A3" t="s">
        <v>158</v>
      </c>
      <c r="B3" t="s">
        <v>168</v>
      </c>
      <c r="C3">
        <v>1</v>
      </c>
      <c r="F3" t="s">
        <v>346</v>
      </c>
      <c r="T3" t="str">
        <v/>
      </c>
      <c r="U3" t="str">
        <v/>
      </c>
      <c r="W3" t="str">
        <v/>
      </c>
      <c r="X3" t="str">
        <v/>
      </c>
    </row>
    <row r="4" spans="1:24" x14ac:dyDescent="0.2">
      <c r="A4" t="s">
        <v>159</v>
      </c>
      <c r="B4" t="s">
        <v>169</v>
      </c>
      <c r="C4">
        <v>1</v>
      </c>
      <c r="F4" t="s">
        <v>347</v>
      </c>
      <c r="T4" t="str">
        <v/>
      </c>
      <c r="U4" t="str">
        <v/>
      </c>
      <c r="W4" t="str">
        <v/>
      </c>
      <c r="X4" t="str">
        <v/>
      </c>
    </row>
    <row r="5" spans="1:24" x14ac:dyDescent="0.2">
      <c r="A5" t="s">
        <v>160</v>
      </c>
      <c r="B5" t="s">
        <v>170</v>
      </c>
      <c r="C5">
        <v>1</v>
      </c>
      <c r="F5" t="s">
        <v>322</v>
      </c>
      <c r="T5" t="str">
        <v/>
      </c>
      <c r="U5" t="str">
        <v/>
      </c>
      <c r="W5" t="str">
        <v/>
      </c>
      <c r="X5" t="str">
        <v/>
      </c>
    </row>
    <row r="6" spans="1:24" x14ac:dyDescent="0.2">
      <c r="A6" t="s">
        <v>161</v>
      </c>
      <c r="B6" t="s">
        <v>171</v>
      </c>
      <c r="C6">
        <v>3</v>
      </c>
      <c r="F6" t="s">
        <v>348</v>
      </c>
      <c r="T6" t="str">
        <v/>
      </c>
      <c r="U6" t="str">
        <v/>
      </c>
      <c r="W6" t="str">
        <v/>
      </c>
      <c r="X6" t="str">
        <v/>
      </c>
    </row>
    <row r="7" spans="1:24" x14ac:dyDescent="0.2">
      <c r="A7" t="s">
        <v>162</v>
      </c>
      <c r="B7" t="s">
        <v>172</v>
      </c>
      <c r="C7">
        <v>3</v>
      </c>
      <c r="T7" t="str">
        <v/>
      </c>
      <c r="U7" t="str">
        <v/>
      </c>
      <c r="W7" t="str">
        <v/>
      </c>
      <c r="X7" t="str">
        <v/>
      </c>
    </row>
    <row r="8" spans="1:24" x14ac:dyDescent="0.2">
      <c r="A8" t="s">
        <v>163</v>
      </c>
      <c r="B8" t="s">
        <v>173</v>
      </c>
      <c r="C8">
        <v>3</v>
      </c>
      <c r="T8" t="str">
        <v/>
      </c>
      <c r="U8" t="str">
        <v/>
      </c>
      <c r="W8" t="str">
        <v/>
      </c>
      <c r="X8" t="str">
        <v/>
      </c>
    </row>
    <row r="9" spans="1:24" x14ac:dyDescent="0.2">
      <c r="A9" t="s">
        <v>164</v>
      </c>
      <c r="B9" t="s">
        <v>174</v>
      </c>
      <c r="C9">
        <v>3</v>
      </c>
      <c r="T9" t="str">
        <v/>
      </c>
      <c r="U9" t="str">
        <v/>
      </c>
      <c r="W9" t="str">
        <v/>
      </c>
      <c r="X9" t="str">
        <v/>
      </c>
    </row>
    <row r="10" spans="1:24" x14ac:dyDescent="0.2">
      <c r="A10" t="s">
        <v>165</v>
      </c>
      <c r="B10" t="s">
        <v>175</v>
      </c>
      <c r="C10">
        <v>3</v>
      </c>
      <c r="T10" t="str">
        <v/>
      </c>
      <c r="U10" t="str">
        <v/>
      </c>
      <c r="W10" t="str">
        <v/>
      </c>
      <c r="X10" t="str">
        <v/>
      </c>
    </row>
    <row r="11" spans="1:24" x14ac:dyDescent="0.2">
      <c r="A11" t="s">
        <v>166</v>
      </c>
      <c r="B11" t="s">
        <v>176</v>
      </c>
      <c r="C11">
        <v>3</v>
      </c>
      <c r="T11" t="str">
        <f t="array" ref="T11:T19">IFERROR(INDEX(Sheet1!$D$34:$D$42,SMALL(IF(Sheet1!$B$34:$B$42="JMC",IF((Sheet1!$D$34:$D$42&lt;&gt;$A$65:$A$71)*(Sheet1!$D$34:$D$42&lt;&gt;$A$2:$A$9),ROW(Sheet1!$D$34:$D$42)-ROW(Sheet1!$D$34)+1)),ROW()-10),1),"")</f>
        <v/>
      </c>
      <c r="U11" t="str">
        <f t="array" ref="U11:U19">IFERROR(INDEX(Sheet1!$H$34:$H$42,SMALL(IF(Sheet1!$B$34:$B$42="JMC",IF((Sheet1!$D$34:$D$42&lt;&gt;$A$65:$A$71)*(Sheet1!$D$34:$D$42&lt;&gt;$A$2:$A$9),ROW(Sheet1!$D$34:$D$42)-ROW(Sheet1!$D$34)+1)),ROW()-10),1),"")</f>
        <v/>
      </c>
      <c r="W11" t="str">
        <f t="array" ref="W11:W19">IFERROR(INDEX(Sheet1!$D$34:$D$42,SMALL(IF(Sheet1!$D$34:$D$42={"JMC 076","JMC 099","POLS 114","POLS 166"},ROW(Sheet1!$D$34:$D$42)-ROW(Sheet1!$D$34)+1),ROW()-10),1),"")</f>
        <v/>
      </c>
      <c r="X11" t="str">
        <f t="array" ref="X11:X19">IFERROR(INDEX(Sheet1!$H$34:$H$42,SMALL(IF(Sheet1!$D$34:$D$42={"JMC 076","JMC 099","POLS 114","POLS 166"},ROW(Sheet1!$D$34:$D$42)-ROW(Sheet1!$D$34)+1),ROW()-10),1),"")</f>
        <v/>
      </c>
    </row>
    <row r="12" spans="1:24" x14ac:dyDescent="0.2">
      <c r="T12" t="str">
        <v/>
      </c>
      <c r="U12" t="str">
        <v/>
      </c>
      <c r="W12" t="str">
        <v/>
      </c>
      <c r="X12" t="str">
        <v/>
      </c>
    </row>
    <row r="13" spans="1:24" x14ac:dyDescent="0.2">
      <c r="A13" t="s">
        <v>323</v>
      </c>
      <c r="T13" t="str">
        <v/>
      </c>
      <c r="U13" t="str">
        <v/>
      </c>
      <c r="W13" t="str">
        <v/>
      </c>
      <c r="X13" t="str">
        <v/>
      </c>
    </row>
    <row r="14" spans="1:24" x14ac:dyDescent="0.2">
      <c r="A14" t="s">
        <v>324</v>
      </c>
      <c r="B14" t="s">
        <v>325</v>
      </c>
      <c r="G14">
        <f>SUMPRODUCT(--(Sheet1!$D$19:$D$27="JMC 085")+(Sheet1!$D$34:$D$42="JMC 085")+(Sheet1!$D$54:$D$62="JMC 085")+(Sheet1!$D$68:$D$76="JMC 085")+(Sheet1!$D$82:$D$90="JMC 085")+(Sheet1!$D$104:$D$112="JMC 085")+(Sheet1!$D$118:$D$126="JMC 085")+(Sheet1!$D$132:$D$140="JMC 085")+(Sheet1!$D$154:$D$162="JMC 085")+(Sheet1!$D$168:$D$176="JMC 085")+(Sheet1!$D$183:$D$191="JMC 085"))</f>
        <v>0</v>
      </c>
      <c r="T14" t="str">
        <v/>
      </c>
      <c r="U14" t="str">
        <v/>
      </c>
      <c r="W14" t="str">
        <v/>
      </c>
      <c r="X14" t="str">
        <v/>
      </c>
    </row>
    <row r="15" spans="1:24" x14ac:dyDescent="0.2">
      <c r="A15" t="s">
        <v>326</v>
      </c>
      <c r="B15" t="s">
        <v>327</v>
      </c>
      <c r="G15">
        <f t="array" ref="G15">SUMPRODUCT(--(Sheet1!$D$19:$D$27="JMC 123")+(Sheet1!$D$34:$D$42="JMC 123")+(Sheet1!$D$54:$D$62="JMC 123")+(Sheet1!$D$68:$D$76="JMC 123")+(Sheet1!$D$82:$D$90="JMC 123")+(Sheet1!$D$104:$D$112="JMC 123")+(Sheet1!$D$118:$D$126="JMC 123")+(Sheet1!$D$132:$D$140="JMC 123")+(Sheet1!$D$154:$D$162="JMC 123")+(Sheet1!$D$168:$D$176="JMC 123")+(Sheet1!$D$183:$D$191="JMC 123"))</f>
        <v>0</v>
      </c>
      <c r="T15" t="str">
        <v/>
      </c>
      <c r="U15" t="str">
        <v/>
      </c>
      <c r="W15" t="str">
        <v/>
      </c>
      <c r="X15" t="str">
        <v/>
      </c>
    </row>
    <row r="16" spans="1:24" x14ac:dyDescent="0.2">
      <c r="A16" t="s">
        <v>328</v>
      </c>
      <c r="B16" t="s">
        <v>329</v>
      </c>
      <c r="G16">
        <f t="array" ref="G16">SUMPRODUCT(--(Sheet1!$D$19:$D$27="JMC 144")+(Sheet1!$D$34:$D$42="JMC 144")+(Sheet1!$D$54:$D$62="JMC 144")+(Sheet1!$D$68:$D$76="JMC 144")+(Sheet1!$D$82:$D$90="JMC 144")+(Sheet1!$D$104:$D$112="JMC 144")+(Sheet1!$D$118:$D$126="JMC 144")+(Sheet1!$D$132:$D$140="JMC 144")+(Sheet1!$D$154:$D$162="JMC 144")+(Sheet1!$D$168:$D$176="JMC 144")+(Sheet1!$D$183:$D$191="JMC 144"))</f>
        <v>0</v>
      </c>
      <c r="T16" t="str">
        <v/>
      </c>
      <c r="U16" t="str">
        <v/>
      </c>
      <c r="W16" t="str">
        <v/>
      </c>
      <c r="X16" t="str">
        <v/>
      </c>
    </row>
    <row r="17" spans="1:24" x14ac:dyDescent="0.2">
      <c r="A17" t="s">
        <v>330</v>
      </c>
      <c r="B17" t="s">
        <v>331</v>
      </c>
      <c r="G17">
        <f t="array" ref="G17">SUMPRODUCT(--(Sheet1!$D$19:$D$27="JMC 143")+(Sheet1!$D$34:$D$42="JMC 143")+(Sheet1!$D$54:$D$62="JMC 143")+(Sheet1!$D$68:$D$76="JMC 143")+(Sheet1!$D$82:$D$90="JMC 143")+(Sheet1!$D$104:$D$112="JMC 143")+(Sheet1!$D$118:$D$126="JMC 143")+(Sheet1!$D$132:$D$140="JMC 143")+(Sheet1!$D$154:$D$162="JMC 143")+(Sheet1!$D$168:$D$176="JMC 143")+(Sheet1!$D$183:$D$191="JMC 143"))</f>
        <v>0</v>
      </c>
      <c r="T17" t="str">
        <v/>
      </c>
      <c r="U17" t="str">
        <v/>
      </c>
      <c r="W17" t="str">
        <v/>
      </c>
      <c r="X17" t="str">
        <v/>
      </c>
    </row>
    <row r="18" spans="1:24" x14ac:dyDescent="0.2">
      <c r="A18" t="s">
        <v>332</v>
      </c>
      <c r="B18" t="s">
        <v>333</v>
      </c>
      <c r="G18">
        <f t="array" ref="G18">SUMPRODUCT(--(Sheet1!$D$19:$D$27="JMC 136")+(Sheet1!$D$34:$D$42="JMC 136")+(Sheet1!$D$54:$D$62="JMC 136")+(Sheet1!$D$68:$D$76="JMC 136")+(Sheet1!$D$82:$D$90="JMC 136")+(Sheet1!$D$104:$D$112="JMC 136")+(Sheet1!$D$118:$D$126="JMC 136")+(Sheet1!$D$132:$D$140="JMC 136")+(Sheet1!$D$154:$D$162="JMC 136")+(Sheet1!$D$168:$D$176="JMC 136")+(Sheet1!$D$183:$D$191="JMC 136"))</f>
        <v>0</v>
      </c>
      <c r="T18" t="str">
        <v/>
      </c>
      <c r="U18" t="str">
        <v/>
      </c>
      <c r="W18" t="str">
        <v/>
      </c>
      <c r="X18" t="str">
        <v/>
      </c>
    </row>
    <row r="19" spans="1:24" x14ac:dyDescent="0.2">
      <c r="A19" t="s">
        <v>334</v>
      </c>
      <c r="B19" t="s">
        <v>335</v>
      </c>
      <c r="G19">
        <f t="array" ref="G19">SUMPRODUCT(--(Sheet1!$D$19:$D$27="JMC 146")+(Sheet1!$D$34:$D$42="JMC 146")+(Sheet1!$D$54:$D$62="JMC 146")+(Sheet1!$D$68:$D$76="JMC 146")+(Sheet1!$D$82:$D$90="JMC 146")+(Sheet1!$D$104:$D$112="JMC 146")+(Sheet1!$D$118:$D$126="JMC 146")+(Sheet1!$D$132:$D$140="JMC 146")+(Sheet1!$D$154:$D$162="JMC 146")+(Sheet1!$D$168:$D$176="JMC 146")+(Sheet1!$D$183:$D$191="JMC 146"))</f>
        <v>0</v>
      </c>
      <c r="T19" t="str">
        <v/>
      </c>
      <c r="U19" t="str">
        <v/>
      </c>
      <c r="W19" t="str">
        <v/>
      </c>
      <c r="X19" t="str">
        <v/>
      </c>
    </row>
    <row r="20" spans="1:24" x14ac:dyDescent="0.2">
      <c r="A20" t="s">
        <v>336</v>
      </c>
      <c r="B20" t="s">
        <v>337</v>
      </c>
      <c r="G20">
        <f t="array" ref="G20">SUMPRODUCT(--(Sheet1!$D$19:$D$27="ECON 002")+(Sheet1!$D$34:$D$42="ECON 002")+(Sheet1!$D$54:$D$62="ECON 002")+(Sheet1!$D$68:$D$76="ECON 002")+(Sheet1!$D$82:$D$90="ECON 002")+(Sheet1!$D$104:$D$112="ECON 002")+(Sheet1!$D$118:$D$126="ECON 002")+(Sheet1!$D$132:$D$140="ECON 002")+(Sheet1!$D$154:$D$162="ECON 002")+(Sheet1!$D$168:$D$176="ECON 002")+(Sheet1!$D$183:$D$191="ECON 002"))</f>
        <v>0</v>
      </c>
      <c r="T20" t="str">
        <f t="array" ref="T20:T28">IFERROR(INDEX(Sheet1!$D$54:$D$62,SMALL(IF(Sheet1!$B$54:$B$62="JMC",IF((Sheet1!$D$54:$D$62&lt;&gt;$A$65:$A$71)*(Sheet1!$D$54:$D$62&lt;&gt;$A$2:$A$9),ROW(Sheet1!$D$54:$D$62)-ROW(Sheet1!$D$54)+1)),ROW()-19),1),"")</f>
        <v/>
      </c>
      <c r="U20" t="str">
        <f t="array" ref="U20:U28">IFERROR(INDEX(Sheet1!$H$54:$H$62,SMALL(IF(Sheet1!$B$54:$B$62="JMC",IF((Sheet1!$D$54:$D$62&lt;&gt;$A$65:$A$71)*(Sheet1!$D$54:$D$62&lt;&gt;$A$2:$A$9),ROW(Sheet1!$D$54:$D$62)-ROW(Sheet1!$D$54)+1)),ROW()-19),1),"")</f>
        <v/>
      </c>
      <c r="W20" t="str">
        <f t="array" ref="W20:W28">IFERROR(INDEX(Sheet1!$D$54:$D$62,SMALL(IF(Sheet1!$D$54:$D$62={"JMC 076","JMC 099","POLS 114","POLS 166"},ROW(Sheet1!$D$54:$D$62)-ROW(Sheet1!$D$54)+1),ROW()-19),1),"")</f>
        <v/>
      </c>
      <c r="X20" t="str">
        <f t="array" ref="X20:X28">IFERROR(INDEX(Sheet1!$H$54:$H$62,SMALL(IF(Sheet1!$D$54:$D$62={"JMC 076","JMC 099","POLS 114","POLS 166"},ROW(Sheet1!$D$54:$D$62)-ROW(Sheet1!$D$54)+1),ROW()-19),1),"")</f>
        <v/>
      </c>
    </row>
    <row r="21" spans="1:24" x14ac:dyDescent="0.2">
      <c r="A21" t="s">
        <v>338</v>
      </c>
      <c r="B21" t="s">
        <v>339</v>
      </c>
      <c r="G21">
        <f t="array" ref="G21">SUMPRODUCT(--(Sheet1!$D$19:$D$27="PSY 001")+(Sheet1!$D$34:$D$42="PSY 001")+(Sheet1!$D$54:$D$62="PSY 001")+(Sheet1!$D$68:$D$76="PSY 001")+(Sheet1!$D$82:$D$90="PSY 001")+(Sheet1!$D$104:$D$112="PSY 001")+(Sheet1!$D$118:$D$126="PSY 001")+(Sheet1!$D$132:$D$140="PSY 001")+(Sheet1!$D$154:$D$162="PSY 001")+(Sheet1!$D$168:$D$176="PSY 001")+(Sheet1!$D$183:$D$191="PSY 001"))</f>
        <v>0</v>
      </c>
      <c r="T21" t="str">
        <v/>
      </c>
      <c r="U21" t="str">
        <v/>
      </c>
      <c r="W21" t="str">
        <v/>
      </c>
      <c r="X21" t="str">
        <v/>
      </c>
    </row>
    <row r="22" spans="1:24" x14ac:dyDescent="0.2">
      <c r="A22" t="s">
        <v>340</v>
      </c>
      <c r="B22" t="s">
        <v>341</v>
      </c>
      <c r="G22">
        <f t="array" ref="G22">SUMPRODUCT(--(Sheet1!$D$19:$D$27="MKTG 101")+(Sheet1!$D$34:$D$42="MKTG 101")+(Sheet1!$D$54:$D$62="MKTG 101")+(Sheet1!$D$68:$D$76="MKTG 101")+(Sheet1!$D$82:$D$90="MKTG 101")+(Sheet1!$D$104:$D$112="MKTG 101")+(Sheet1!$D$118:$D$126="MKTG 101")+(Sheet1!$D$132:$D$140="MKTG 101")+(Sheet1!$D$154:$D$162="MKTG 101")+(Sheet1!$D$168:$D$176="MKTG 101")+(Sheet1!$D$183:$D$191="MKTG 101"))</f>
        <v>0</v>
      </c>
      <c r="T22" t="str">
        <v/>
      </c>
      <c r="U22" t="str">
        <v/>
      </c>
      <c r="W22" t="str">
        <v/>
      </c>
      <c r="X22" t="str">
        <v/>
      </c>
    </row>
    <row r="23" spans="1:24" x14ac:dyDescent="0.2">
      <c r="A23" t="s">
        <v>342</v>
      </c>
      <c r="B23" t="s">
        <v>343</v>
      </c>
      <c r="G23">
        <f t="array" ref="G23">SUMPRODUCT(--(Sheet1!$D$19:$D$27="MGMT 110")+(Sheet1!$D$34:$D$42="MGMT 110")+(Sheet1!$D$54:$D$62="MGMT 110")+(Sheet1!$D$68:$D$76="MGMT 110")+(Sheet1!$D$82:$D$90="MGMT 110")+(Sheet1!$D$104:$D$112="MGMT 110")+(Sheet1!$D$118:$D$126="MGMT 110")+(Sheet1!$D$132:$D$140="MGMT 110")+(Sheet1!$D$154:$D$162="MGMT 110")+(Sheet1!$D$168:$D$176="MGMT 110")+(Sheet1!$D$183:$D$191="MGMT 110"))</f>
        <v>0</v>
      </c>
      <c r="T23" t="str">
        <v/>
      </c>
      <c r="U23" t="str">
        <v/>
      </c>
      <c r="W23" t="str">
        <v/>
      </c>
      <c r="X23" t="str">
        <v/>
      </c>
    </row>
    <row r="24" spans="1:24" x14ac:dyDescent="0.2">
      <c r="T24" t="str">
        <v/>
      </c>
      <c r="U24" t="str">
        <v/>
      </c>
      <c r="W24" t="str">
        <v/>
      </c>
      <c r="X24" t="str">
        <v/>
      </c>
    </row>
    <row r="25" spans="1:24" x14ac:dyDescent="0.2">
      <c r="T25" t="str">
        <v/>
      </c>
      <c r="U25" t="str">
        <v/>
      </c>
      <c r="W25" t="str">
        <v/>
      </c>
      <c r="X25" t="str">
        <v/>
      </c>
    </row>
    <row r="26" spans="1:24" x14ac:dyDescent="0.2">
      <c r="A26" t="s">
        <v>368</v>
      </c>
      <c r="T26" t="str">
        <v/>
      </c>
      <c r="U26" t="str">
        <v/>
      </c>
      <c r="W26" t="str">
        <v/>
      </c>
      <c r="X26" t="str">
        <v/>
      </c>
    </row>
    <row r="27" spans="1:24" x14ac:dyDescent="0.2">
      <c r="A27" t="s">
        <v>349</v>
      </c>
      <c r="B27" t="s">
        <v>350</v>
      </c>
      <c r="G27">
        <f t="array" ref="G27">SUMPRODUCT(--(Sheet1!$D$19:$D$27="JMC 057")+(Sheet1!$D$34:$D$42="JMC 057")+(Sheet1!$D$54:$D$62="JMC 057")+(Sheet1!$D$68:$D$76="JMC 057")+(Sheet1!$D$82:$D$90="JMC 057")+(Sheet1!$D$104:$D$112="JMC 057")+(Sheet1!$D$118:$D$126="JMC 057")+(Sheet1!$D$132:$D$140="JMC 057")+(Sheet1!$D$154:$D$162="JMC 057")+(Sheet1!$D$168:$D$176="JMC 057")+(Sheet1!$D$183:$D$191="JMC 057"))</f>
        <v>0</v>
      </c>
      <c r="T27" t="str">
        <v/>
      </c>
      <c r="U27" t="str">
        <v/>
      </c>
      <c r="W27" t="str">
        <v/>
      </c>
      <c r="X27" t="str">
        <v/>
      </c>
    </row>
    <row r="28" spans="1:24" x14ac:dyDescent="0.2">
      <c r="A28" t="s">
        <v>351</v>
      </c>
      <c r="B28" t="s">
        <v>352</v>
      </c>
      <c r="G28">
        <f t="array" ref="G28">SUMPRODUCT(--(Sheet1!$D$19:$D$27="JMC 076")+(Sheet1!$D$34:$D$42="JMC 076")+(Sheet1!$D$54:$D$62="JMC 076")+(Sheet1!$D$68:$D$76="JMC 076")+(Sheet1!$D$82:$D$90="JMC 076")+(Sheet1!$D$104:$D$112="JMC 076")+(Sheet1!$D$118:$D$126="JMC 076")+(Sheet1!$D$132:$D$140="JMC 076")+(Sheet1!$D$154:$D$162="JMC 076")+(Sheet1!$D$168:$D$176="JMC 076")+(Sheet1!$D$183:$D$191="JMC 076"))</f>
        <v>0</v>
      </c>
      <c r="T28" t="str">
        <v/>
      </c>
      <c r="U28" t="str">
        <v/>
      </c>
      <c r="W28" t="str">
        <v/>
      </c>
      <c r="X28" t="str">
        <v/>
      </c>
    </row>
    <row r="29" spans="1:24" x14ac:dyDescent="0.2">
      <c r="A29" t="s">
        <v>353</v>
      </c>
      <c r="B29" t="s">
        <v>354</v>
      </c>
      <c r="G29">
        <f t="array" ref="G29">SUMPRODUCT(--(Sheet1!$D$19:$D$27="JMC 105")+(Sheet1!$D$34:$D$42="JMC 105")+(Sheet1!$D$54:$D$62="JMC 105")+(Sheet1!$D$68:$D$76="JMC 105")+(Sheet1!$D$82:$D$90="JMC 105")+(Sheet1!$D$104:$D$112="JMC 105")+(Sheet1!$D$118:$D$126="JMC 105")+(Sheet1!$D$132:$D$140="JMC 105")+(Sheet1!$D$154:$D$162="JMC 105")+(Sheet1!$D$168:$D$176="JMC 105")+(Sheet1!$D$183:$D$191="JMC 105"))</f>
        <v>0</v>
      </c>
      <c r="T29" t="str">
        <f t="array" ref="T29:T37">IFERROR(INDEX(Sheet1!$D$68:$D$76,SMALL(IF(Sheet1!$B$68:$B$76="JMC",IF((Sheet1!$D$68:$D$76&lt;&gt;$A$65:$A$71)*(Sheet1!$D$68:$D$76&lt;&gt;$A$2:$A$9),ROW(Sheet1!$D$68:$D$76)-ROW(Sheet1!$D$68)+1)),ROW()-28),1),"")</f>
        <v/>
      </c>
      <c r="U29" t="str">
        <f t="array" ref="U29:U37">IFERROR(INDEX(Sheet1!$H$68:$H$76,SMALL(IF(Sheet1!$B$68:$B$76="JMC",IF((Sheet1!$D$68:$D$76&lt;&gt;$A$65:$A$71)*(Sheet1!$D$68:$D$76&lt;&gt;$A$2:$A$9),ROW(Sheet1!$D$68:$D$76)-ROW(Sheet1!$D$68)+1)),ROW()-28),1),"")</f>
        <v/>
      </c>
      <c r="W29" t="str">
        <f t="array" ref="W29:W37">IFERROR(INDEX(Sheet1!$D$68:$D$76,SMALL(IF(Sheet1!$D$68:$D$76={"JMC 076","JMC 099","POLS 114","POLS 166"},ROW(Sheet1!$D$68:$D$76)-ROW(Sheet1!$D$68)+1),ROW()-28),1),"")</f>
        <v/>
      </c>
      <c r="X29" t="str">
        <f t="array" ref="X29:X37">IFERROR(INDEX(Sheet1!$H$68:$H$76,SMALL(IF(Sheet1!$D$68:$D$76={"JMC 076","JMC 099","POLS 114","POLS 166"},ROW(Sheet1!$D$68:$D$76)-ROW(Sheet1!$D$68)+1),ROW()-28),1),"")</f>
        <v/>
      </c>
    </row>
    <row r="30" spans="1:24" x14ac:dyDescent="0.2">
      <c r="A30" t="s">
        <v>355</v>
      </c>
      <c r="B30" t="s">
        <v>356</v>
      </c>
      <c r="G30">
        <f t="array" ref="G30">SUMPRODUCT(--(Sheet1!$D$19:$D$27="JMC 113")+(Sheet1!$D$34:$D$42="JMC 113")+(Sheet1!$D$54:$D$62="JMC 113")+(Sheet1!$D$68:$D$76="JMC 113")+(Sheet1!$D$82:$D$90="JMC 113")+(Sheet1!$D$104:$D$112="JMC 113")+(Sheet1!$D$118:$D$126="JMC 113")+(Sheet1!$D$132:$D$140="JMC 113")+(Sheet1!$D$154:$D$162="JMC 113")+(Sheet1!$D$168:$D$176="JMC 113")+(Sheet1!$D$183:$D$191="JMC 113"))</f>
        <v>0</v>
      </c>
      <c r="T30" t="str">
        <v/>
      </c>
      <c r="U30" t="str">
        <v/>
      </c>
      <c r="W30" t="str">
        <v/>
      </c>
      <c r="X30" t="str">
        <v/>
      </c>
    </row>
    <row r="31" spans="1:24" x14ac:dyDescent="0.2">
      <c r="A31" t="s">
        <v>357</v>
      </c>
      <c r="B31" t="s">
        <v>358</v>
      </c>
      <c r="G31">
        <f t="array" ref="G31">SUMPRODUCT(--(Sheet1!$D$19:$D$27="JMC 124")+(Sheet1!$D$34:$D$42="JMC 124")+(Sheet1!$D$54:$D$62="JMC 124")+(Sheet1!$D$68:$D$76="JMC 124")+(Sheet1!$D$82:$D$90="JMC 124")+(Sheet1!$D$104:$D$112="JMC 124")+(Sheet1!$D$118:$D$126="JMC 124")+(Sheet1!$D$132:$D$140="JMC 124")+(Sheet1!$D$154:$D$162="JMC 124")+(Sheet1!$D$168:$D$176="JMC 124")+(Sheet1!$D$183:$D$191="JMC 124"))</f>
        <v>0</v>
      </c>
      <c r="T31" t="str">
        <v/>
      </c>
      <c r="U31" t="str">
        <v/>
      </c>
      <c r="W31" t="str">
        <v/>
      </c>
      <c r="X31" t="str">
        <v/>
      </c>
    </row>
    <row r="32" spans="1:24" x14ac:dyDescent="0.2">
      <c r="A32" t="s">
        <v>359</v>
      </c>
      <c r="B32" t="s">
        <v>369</v>
      </c>
      <c r="G32">
        <f t="array" ref="G32">SUMPRODUCT(--(Sheet1!$D$19:$D$27="JMC 145")+(Sheet1!$D$34:$D$42="JMC 145")+(Sheet1!$D$54:$D$62="JMC 145")+(Sheet1!$D$68:$D$76="JMC 145")+(Sheet1!$D$82:$D$90="JMC 145")+(Sheet1!$D$104:$D$112="JMC 145")+(Sheet1!$D$118:$D$126="JMC 145")+(Sheet1!$D$132:$D$140="JMC 145")+(Sheet1!$D$154:$D$162="JMC 145")+(Sheet1!$D$168:$D$176="JMC 145")+(Sheet1!$D$183:$D$191="JMC 145"))</f>
        <v>0</v>
      </c>
      <c r="T32" t="str">
        <v/>
      </c>
      <c r="U32" t="str">
        <v/>
      </c>
      <c r="W32" t="str">
        <v/>
      </c>
      <c r="X32" t="str">
        <v/>
      </c>
    </row>
    <row r="33" spans="1:24" x14ac:dyDescent="0.2">
      <c r="A33" t="s">
        <v>360</v>
      </c>
      <c r="B33" t="s">
        <v>361</v>
      </c>
      <c r="G33">
        <f t="array" ref="G33">SUMPRODUCT(--(Sheet1!$D$19:$D$27="JMC 117")+(Sheet1!$D$34:$D$42="JMC 117")+(Sheet1!$D$54:$D$62="JMC 117")+(Sheet1!$D$68:$D$76="JMC 117")+(Sheet1!$D$82:$D$90="JMC 117")+(Sheet1!$D$104:$D$112="JMC 117")+(Sheet1!$D$118:$D$126="JMC 117")+(Sheet1!$D$132:$D$140="JMC 117")+(Sheet1!$D$154:$D$162="JMC 117")+(Sheet1!$D$168:$D$176="JMC 117")+(Sheet1!$D$183:$D$191="JMC 117"))</f>
        <v>0</v>
      </c>
      <c r="T33" t="str">
        <v/>
      </c>
      <c r="U33" t="str">
        <v/>
      </c>
      <c r="W33" t="str">
        <v/>
      </c>
      <c r="X33" t="str">
        <v/>
      </c>
    </row>
    <row r="34" spans="1:24" x14ac:dyDescent="0.2">
      <c r="A34" t="s">
        <v>362</v>
      </c>
      <c r="B34" t="s">
        <v>363</v>
      </c>
      <c r="G34">
        <f t="array" ref="G34">SUMPRODUCT(--(Sheet1!$D$19:$D$27="JMC 139")+(Sheet1!$D$34:$D$42="JMC 139")+(Sheet1!$D$54:$D$62="JMC 139")+(Sheet1!$D$68:$D$76="JMC 139")+(Sheet1!$D$82:$D$90="JMC 139")+(Sheet1!$D$104:$D$112="JMC 139")+(Sheet1!$D$118:$D$126="JMC 139")+(Sheet1!$D$132:$D$140="JMC 139")+(Sheet1!$D$154:$D$162="JMC 139")+(Sheet1!$D$168:$D$176="JMC 139")+(Sheet1!$D$183:$D$191="JMC 139"))</f>
        <v>0</v>
      </c>
      <c r="T34" t="str">
        <v/>
      </c>
      <c r="U34" t="str">
        <v/>
      </c>
      <c r="W34" t="str">
        <v/>
      </c>
      <c r="X34" t="str">
        <v/>
      </c>
    </row>
    <row r="35" spans="1:24" x14ac:dyDescent="0.2">
      <c r="A35" t="s">
        <v>364</v>
      </c>
      <c r="B35" t="s">
        <v>365</v>
      </c>
      <c r="G35">
        <f t="array" ref="G35">SUMPRODUCT(--(Sheet1!$D$19:$D$27="JMC 141")+(Sheet1!$D$34:$D$42="JMC 141")+(Sheet1!$D$54:$D$62="JMC 141")+(Sheet1!$D$68:$D$76="JMC 141")+(Sheet1!$D$82:$D$90="JMC 141")+(Sheet1!$D$104:$D$112="JMC 141")+(Sheet1!$D$118:$D$126="JMC 141")+(Sheet1!$D$132:$D$140="JMC 141")+(Sheet1!$D$154:$D$162="JMC 141")+(Sheet1!$D$168:$D$176="JMC 141")+(Sheet1!$D$183:$D$191="JMC 141"))</f>
        <v>0</v>
      </c>
      <c r="T35" t="str">
        <v/>
      </c>
      <c r="U35" t="str">
        <v/>
      </c>
      <c r="W35" t="str">
        <v/>
      </c>
      <c r="X35" t="str">
        <v/>
      </c>
    </row>
    <row r="36" spans="1:24" x14ac:dyDescent="0.2">
      <c r="A36" t="s">
        <v>336</v>
      </c>
      <c r="B36" t="s">
        <v>337</v>
      </c>
      <c r="G36">
        <f t="array" ref="G36">SUMPRODUCT(--(Sheet1!$D$19:$D$27="ECON 002")+(Sheet1!$D$34:$D$42="ECON 002")+(Sheet1!$D$54:$D$62="ECON 002")+(Sheet1!$D$68:$D$76="ECON 002")+(Sheet1!$D$82:$D$90="ECON 002")+(Sheet1!$D$104:$D$112="ECON 002")+(Sheet1!$D$118:$D$126="ECON 002")+(Sheet1!$D$132:$D$140="ECON 002")+(Sheet1!$D$154:$D$162="ECON 002")+(Sheet1!$D$168:$D$176="ECON 002")+(Sheet1!$D$183:$D$191="ECON 002"))</f>
        <v>0</v>
      </c>
      <c r="T36" t="str">
        <v/>
      </c>
      <c r="U36" t="str">
        <v/>
      </c>
      <c r="W36" t="str">
        <v/>
      </c>
      <c r="X36" t="str">
        <v/>
      </c>
    </row>
    <row r="37" spans="1:24" x14ac:dyDescent="0.2">
      <c r="A37" t="s">
        <v>338</v>
      </c>
      <c r="B37" t="s">
        <v>366</v>
      </c>
      <c r="G37">
        <f t="array" ref="G37">SUMPRODUCT(--(Sheet1!$D$19:$D$27="PSY 001")+(Sheet1!$D$34:$D$42="PSY 001")+(Sheet1!$D$54:$D$62="PSY 001")+(Sheet1!$D$68:$D$76="PSY 001")+(Sheet1!$D$82:$D$90="PSY 001")+(Sheet1!$D$104:$D$112="PSY 001")+(Sheet1!$D$118:$D$126="PSY 001")+(Sheet1!$D$132:$D$140="PSY 001")+(Sheet1!$D$154:$D$162="PSY 001")+(Sheet1!$D$168:$D$176="PSY 001")+(Sheet1!$D$183:$D$191="PSY 001"))</f>
        <v>0</v>
      </c>
      <c r="T37" t="str">
        <v/>
      </c>
      <c r="U37" t="str">
        <v/>
      </c>
      <c r="W37" t="str">
        <v/>
      </c>
      <c r="X37" t="str">
        <v/>
      </c>
    </row>
    <row r="38" spans="1:24" x14ac:dyDescent="0.2">
      <c r="A38" t="s">
        <v>340</v>
      </c>
      <c r="B38" t="s">
        <v>341</v>
      </c>
      <c r="G38">
        <f t="array" ref="G38">SUMPRODUCT(--(Sheet1!$D$19:$D$27="MKTG 101")+(Sheet1!$D$34:$D$42="MKTG 101")+(Sheet1!$D$54:$D$62="MKTG 101")+(Sheet1!$D$68:$D$76="MKTG 101")+(Sheet1!$D$82:$D$90="MKTG 101")+(Sheet1!$D$104:$D$112="MKTG 101")+(Sheet1!$D$118:$D$126="MKTG 101")+(Sheet1!$D$132:$D$140="MKTG 101")+(Sheet1!$D$154:$D$162="MKTG 101")+(Sheet1!$D$168:$D$176="MKTG 101")+(Sheet1!$D$183:$D$191="MKTG 101"))</f>
        <v>0</v>
      </c>
      <c r="T38" t="str">
        <f t="array" ref="T38:T46">IFERROR(INDEX(Sheet1!$D$82:$D$90,SMALL(IF(Sheet1!$B$82:$B$90="JMC",IF((Sheet1!$D$82:$D$90&lt;&gt;$A$65:$A$71)*(Sheet1!$D$82:$D$90&lt;&gt;$A$2:$A$9),ROW(Sheet1!$D$82:$D$90)-ROW(Sheet1!$D$82)+1)),ROW()-37),1),"")</f>
        <v/>
      </c>
      <c r="U38" t="str">
        <f t="array" ref="U38:U46">IFERROR(INDEX(Sheet1!$H$82:$H$90,SMALL(IF(Sheet1!$B$82:$B$90="JMC",IF((Sheet1!$D$82:$D$90&lt;&gt;$A$65:$A$71)*(Sheet1!$D$82:$D$90&lt;&gt;$A$2:$A$9),ROW(Sheet1!$D$82:$D$90)-ROW(Sheet1!$D$82)+1)),ROW()-37),1),"")</f>
        <v/>
      </c>
      <c r="W38" t="str">
        <f t="array" ref="W38:W46">IFERROR(INDEX(Sheet1!$D$82:$D$90,SMALL(IF(Sheet1!$D$82:$D$90={"JMC 076","JMC 099","POLS 114","POLS 166"},ROW(Sheet1!$D$82:$D$90)-ROW(Sheet1!$D$82)+1),ROW()-37),1),"")</f>
        <v/>
      </c>
      <c r="X38" t="str">
        <f t="array" ref="X38:X46">IFERROR(INDEX(Sheet1!$H$82:$H$90,SMALL(IF(Sheet1!$D$82:$D$90={"JMC 076","JMC 099","POLS 114","POLS 166"},ROW(Sheet1!$D$82:$D$90)-ROW(Sheet1!$D$82)+1),ROW()-37),1),"")</f>
        <v/>
      </c>
    </row>
    <row r="39" spans="1:24" x14ac:dyDescent="0.2">
      <c r="T39" t="str">
        <v/>
      </c>
      <c r="U39" t="str">
        <v/>
      </c>
      <c r="W39" t="str">
        <v/>
      </c>
      <c r="X39" t="str">
        <v/>
      </c>
    </row>
    <row r="40" spans="1:24" x14ac:dyDescent="0.2">
      <c r="T40" t="str">
        <v/>
      </c>
      <c r="U40" t="str">
        <v/>
      </c>
      <c r="W40" t="str">
        <v/>
      </c>
      <c r="X40" t="str">
        <v/>
      </c>
    </row>
    <row r="41" spans="1:24" x14ac:dyDescent="0.2">
      <c r="A41" t="s">
        <v>370</v>
      </c>
      <c r="T41" t="str">
        <v/>
      </c>
      <c r="U41" t="str">
        <v/>
      </c>
      <c r="W41" t="str">
        <v/>
      </c>
      <c r="X41" t="str">
        <v/>
      </c>
    </row>
    <row r="42" spans="1:24" x14ac:dyDescent="0.2">
      <c r="A42" t="s">
        <v>371</v>
      </c>
      <c r="B42" t="s">
        <v>377</v>
      </c>
      <c r="G42">
        <f t="array" ref="G42">SUMPRODUCT(--(Sheet1!$D$19:$D$27="JMC 063")+(Sheet1!$D$34:$D$42="JMC 063")+(Sheet1!$D$54:$D$62="JMC 063")+(Sheet1!$D$68:$D$76="JMC 063")+(Sheet1!$D$82:$D$90="JMC 063")+(Sheet1!$D$104:$D$112="JMC 063")+(Sheet1!$D$118:$D$126="JMC 063")+(Sheet1!$D$132:$D$140="JMC 063")+(Sheet1!$D$154:$D$162="JMC 063")+(Sheet1!$D$168:$D$176="JMC 063")+(Sheet1!$D$183:$D$191="JMC 063"))</f>
        <v>0</v>
      </c>
      <c r="T42" t="str">
        <v/>
      </c>
      <c r="U42" t="str">
        <v/>
      </c>
      <c r="W42" t="str">
        <v/>
      </c>
      <c r="X42" t="str">
        <v/>
      </c>
    </row>
    <row r="43" spans="1:24" x14ac:dyDescent="0.2">
      <c r="A43" t="s">
        <v>373</v>
      </c>
      <c r="B43" t="s">
        <v>379</v>
      </c>
      <c r="G43">
        <f t="array" ref="G43">SUMPRODUCT(--(Sheet1!$D$19:$D$27="JMC 070")+(Sheet1!$D$34:$D$42="JMC 070")+(Sheet1!$D$54:$D$62="JMC 070")+(Sheet1!$D$68:$D$76="JMC 070")+(Sheet1!$D$82:$D$90="JMC 070")+(Sheet1!$D$104:$D$112="JMC 070")+(Sheet1!$D$118:$D$126="JMC 070")+(Sheet1!$D$132:$D$140="JMC 070")+(Sheet1!$D$154:$D$162="JMC 070")+(Sheet1!$D$168:$D$176="JMC 070")+(Sheet1!$D$183:$D$191="JMC 070"))</f>
        <v>0</v>
      </c>
      <c r="T43" t="str">
        <v/>
      </c>
      <c r="U43" t="str">
        <v/>
      </c>
      <c r="W43" t="str">
        <v/>
      </c>
      <c r="X43" t="str">
        <v/>
      </c>
    </row>
    <row r="44" spans="1:24" x14ac:dyDescent="0.2">
      <c r="A44" t="s">
        <v>374</v>
      </c>
      <c r="B44" t="s">
        <v>380</v>
      </c>
      <c r="G44">
        <f t="array" ref="G44">SUMPRODUCT(--(Sheet1!$D$19:$D$27="JMC 091")+(Sheet1!$D$34:$D$42="JMC 091")+(Sheet1!$D$54:$D$62="JMC 091")+(Sheet1!$D$68:$D$76="JMC 091")+(Sheet1!$D$82:$D$90="JMC 091")+(Sheet1!$D$104:$D$112="JMC 091")+(Sheet1!$D$118:$D$126="JMC 091")+(Sheet1!$D$132:$D$140="JMC 091")+(Sheet1!$D$154:$D$162="JMC 091")+(Sheet1!$D$168:$D$176="JMC 091")+(Sheet1!$D$183:$D$191="JMC 091"))</f>
        <v>0</v>
      </c>
      <c r="T44" t="str">
        <v/>
      </c>
      <c r="U44" t="str">
        <v/>
      </c>
      <c r="W44" t="str">
        <v/>
      </c>
      <c r="X44" t="str">
        <v/>
      </c>
    </row>
    <row r="45" spans="1:24" x14ac:dyDescent="0.2">
      <c r="A45" t="s">
        <v>353</v>
      </c>
      <c r="B45" t="s">
        <v>354</v>
      </c>
      <c r="G45">
        <f t="array" ref="G45">SUMPRODUCT(--(Sheet1!$D$19:$D$27="JMC 105")+(Sheet1!$D$34:$D$42="JMC 105")+(Sheet1!$D$54:$D$62="JMC 105")+(Sheet1!$D$68:$D$76="JMC 105")+(Sheet1!$D$82:$D$90="JMC 105")+(Sheet1!$D$104:$D$112="JMC 105")+(Sheet1!$D$118:$D$126="JMC 105")+(Sheet1!$D$132:$D$140="JMC 105")+(Sheet1!$D$154:$D$162="JMC 105")+(Sheet1!$D$168:$D$176="JMC 105")+(Sheet1!$D$183:$D$191="JMC 105"))</f>
        <v>0</v>
      </c>
      <c r="T45" t="str">
        <v/>
      </c>
      <c r="U45" t="str">
        <v/>
      </c>
      <c r="W45" t="str">
        <v/>
      </c>
      <c r="X45" t="str">
        <v/>
      </c>
    </row>
    <row r="46" spans="1:24" x14ac:dyDescent="0.2">
      <c r="A46" t="s">
        <v>375</v>
      </c>
      <c r="B46" t="s">
        <v>382</v>
      </c>
      <c r="G46">
        <f t="array" ref="G46">SUMPRODUCT(--(Sheet1!$D$19:$D$27="JMC 119")+(Sheet1!$D$34:$D$42="JMC 119")+(Sheet1!$D$54:$D$62="JMC 119")+(Sheet1!$D$68:$D$76="JMC 119")+(Sheet1!$D$82:$D$90="JMC 119")+(Sheet1!$D$104:$D$112="JMC 119")+(Sheet1!$D$118:$D$126="JMC 119")+(Sheet1!$D$132:$D$140="JMC 119")+(Sheet1!$D$154:$D$162="JMC 119")+(Sheet1!$D$168:$D$176="JMC 119")+(Sheet1!$D$183:$D$191="JMC 119"))</f>
        <v>0</v>
      </c>
      <c r="T46" t="str">
        <v/>
      </c>
      <c r="U46" t="str">
        <v/>
      </c>
      <c r="W46" t="str">
        <v/>
      </c>
      <c r="X46" t="str">
        <v/>
      </c>
    </row>
    <row r="47" spans="1:24" x14ac:dyDescent="0.2">
      <c r="A47" t="s">
        <v>376</v>
      </c>
      <c r="B47" t="s">
        <v>381</v>
      </c>
      <c r="G47">
        <f t="array" ref="G47">SUMPRODUCT(--(Sheet1!$D$19:$D$27="JMC 120")+(Sheet1!$D$34:$D$42="JMC 120")+(Sheet1!$D$54:$D$62="JMC 120")+(Sheet1!$D$68:$D$76="JMC 120")+(Sheet1!$D$82:$D$90="JMC 120")+(Sheet1!$D$104:$D$112="JMC 120")+(Sheet1!$D$118:$D$126="JMC 120")+(Sheet1!$D$132:$D$140="JMC 120")+(Sheet1!$D$154:$D$162="JMC 120")+(Sheet1!$D$168:$D$176="JMC 120")+(Sheet1!$D$183:$D$191="JMC 120"))</f>
        <v>0</v>
      </c>
      <c r="T47" t="str">
        <f t="array" ref="T47:T55">IFERROR(INDEX(Sheet1!$D$104:$D$112,SMALL(IF(Sheet1!$B$104:$B$112="JMC",IF((Sheet1!$D$104:$D$112&lt;&gt;$A$65:$A$71)*(Sheet1!$D$104:$D$112&lt;&gt;$A$2:$A$9),ROW(Sheet1!$D$104:$D$112)-ROW(Sheet1!$D$104)+1)),ROW()-46),1),"")</f>
        <v/>
      </c>
      <c r="U47" t="str">
        <f t="array" ref="U47:U55">IFERROR(INDEX(Sheet1!$H$104:$H$112,SMALL(IF(Sheet1!$B$104:$B$112="JMC",IF((Sheet1!$D$104:$D$112&lt;&gt;$A$65:$A$71)*(Sheet1!$D$104:$D$112&lt;&gt;$A$2:$A$9),ROW(Sheet1!$D$104:$D$112)-ROW(Sheet1!$D$104)+1)),ROW()-46),1),"")</f>
        <v/>
      </c>
      <c r="W47" t="str">
        <f t="array" ref="W47:W55">IFERROR(INDEX(Sheet1!$D$104:$D$112,SMALL(IF(Sheet1!$D$104:$D$112={"JMC 076","JMC 099","POLS 114","POLS 166"},ROW(Sheet1!$D$104:$D$112)-ROW(Sheet1!$D$104)+1),ROW()-46),1),"")</f>
        <v/>
      </c>
      <c r="X47" t="str">
        <f t="array" ref="X47:X55">IFERROR(INDEX(Sheet1!$H$104:$H$112,SMALL(IF(Sheet1!$D$104:$D$112={"JMC 076","JMC 099","POLS 114","POLS 166"},ROW(Sheet1!$D$104:$D$112)-ROW(Sheet1!$D$104)+1),ROW()-46),1),"")</f>
        <v/>
      </c>
    </row>
    <row r="48" spans="1:24" x14ac:dyDescent="0.2">
      <c r="A48" t="s">
        <v>372</v>
      </c>
      <c r="B48" t="s">
        <v>378</v>
      </c>
      <c r="G48">
        <f t="array" ref="G48">SUMPRODUCT(--(Sheet1!$D$19:$D$27="JMC 172")+(Sheet1!$D$34:$D$42="JMC 172")+(Sheet1!$D$54:$D$62="JMC 172")+(Sheet1!$D$68:$D$76="JMC 172")+(Sheet1!$D$82:$D$90="JMC 172")+(Sheet1!$D$104:$D$112="JMC 172")+(Sheet1!$D$118:$D$126="JMC 172")+(Sheet1!$D$132:$D$140="JMC 172")+(Sheet1!$D$154:$D$162="JMC 172")+(Sheet1!$D$168:$D$176="JMC 172")+(Sheet1!$D$183:$D$191="JMC 172"))</f>
        <v>0</v>
      </c>
      <c r="T48" t="str">
        <v/>
      </c>
      <c r="U48" t="str">
        <v/>
      </c>
      <c r="W48" t="str">
        <v/>
      </c>
      <c r="X48" t="str">
        <v/>
      </c>
    </row>
    <row r="49" spans="1:24" x14ac:dyDescent="0.2">
      <c r="T49" t="str">
        <v/>
      </c>
      <c r="U49" t="str">
        <v/>
      </c>
      <c r="W49" t="str">
        <v/>
      </c>
      <c r="X49" t="str">
        <v/>
      </c>
    </row>
    <row r="50" spans="1:24" x14ac:dyDescent="0.2">
      <c r="T50" t="str">
        <v/>
      </c>
      <c r="U50" t="str">
        <v/>
      </c>
      <c r="W50" t="str">
        <v/>
      </c>
      <c r="X50" t="str">
        <v/>
      </c>
    </row>
    <row r="51" spans="1:24" x14ac:dyDescent="0.2">
      <c r="A51" t="s">
        <v>383</v>
      </c>
      <c r="T51" t="str">
        <v/>
      </c>
      <c r="U51" t="str">
        <v/>
      </c>
      <c r="W51" t="str">
        <v/>
      </c>
      <c r="X51" t="str">
        <v/>
      </c>
    </row>
    <row r="52" spans="1:24" x14ac:dyDescent="0.2">
      <c r="A52" t="s">
        <v>371</v>
      </c>
      <c r="B52" t="s">
        <v>377</v>
      </c>
      <c r="G52">
        <f t="array" ref="G52">SUMPRODUCT(--(Sheet1!$D$19:$D$27="JMC 063")+(Sheet1!$D$34:$D$42="JMC 063")+(Sheet1!$D$54:$D$62="JMC 063")+(Sheet1!$D$68:$D$76="JMC 063")+(Sheet1!$D$82:$D$90="JMC 063")+(Sheet1!$D$104:$D$112="JMC 063")+(Sheet1!$D$118:$D$126="JMC 063")+(Sheet1!$D$132:$D$140="JMC 063")+(Sheet1!$D$154:$D$162="JMC 063")+(Sheet1!$D$168:$D$176="JMC 063")+(Sheet1!$D$183:$D$191="JMC 063"))</f>
        <v>0</v>
      </c>
      <c r="T52" t="str">
        <v/>
      </c>
      <c r="U52" t="str">
        <v/>
      </c>
      <c r="W52" t="str">
        <v/>
      </c>
      <c r="X52" t="str">
        <v/>
      </c>
    </row>
    <row r="53" spans="1:24" x14ac:dyDescent="0.2">
      <c r="A53" t="s">
        <v>349</v>
      </c>
      <c r="B53" t="s">
        <v>388</v>
      </c>
      <c r="G53">
        <f t="array" ref="G53">SUMPRODUCT(--(Sheet1!$D$19:$D$27="JMC 057")+(Sheet1!$D$34:$D$42="JMC 057")+(Sheet1!$D$54:$D$62="JMC 057")+(Sheet1!$D$68:$D$76="JMC 057")+(Sheet1!$D$82:$D$90="JMC 057")+(Sheet1!$D$104:$D$112="JMC 057")+(Sheet1!$D$118:$D$126="JMC 057")+(Sheet1!$D$132:$D$140="JMC 057")+(Sheet1!$D$154:$D$162="JMC 057")+(Sheet1!$D$168:$D$176="JMC 057")+(Sheet1!$D$183:$D$191="JMC 057"))</f>
        <v>0</v>
      </c>
      <c r="T53" t="str">
        <v/>
      </c>
      <c r="U53" t="str">
        <v/>
      </c>
      <c r="W53" t="str">
        <v/>
      </c>
      <c r="X53" t="str">
        <v/>
      </c>
    </row>
    <row r="54" spans="1:24" x14ac:dyDescent="0.2">
      <c r="A54" t="s">
        <v>384</v>
      </c>
      <c r="B54" t="s">
        <v>389</v>
      </c>
      <c r="G54">
        <f t="array" ref="G54">SUMPRODUCT(--(Sheet1!$D$19:$D$27="JMC 067")+(Sheet1!$D$34:$D$42="JMC 067")+(Sheet1!$D$54:$D$62="JMC 067")+(Sheet1!$D$68:$D$76="JMC 067")+(Sheet1!$D$82:$D$90="JMC 067")+(Sheet1!$D$104:$D$112="JMC 067")+(Sheet1!$D$118:$D$126="JMC 067")+(Sheet1!$D$132:$D$140="JMC 067")+(Sheet1!$D$154:$D$162="JMC 067")+(Sheet1!$D$168:$D$176="MJMC 067")+(Sheet1!$D$183:$D$191="JMC 067"))</f>
        <v>0</v>
      </c>
      <c r="T54" t="str">
        <v/>
      </c>
      <c r="U54" t="str">
        <v/>
      </c>
      <c r="W54" t="str">
        <v/>
      </c>
      <c r="X54" t="str">
        <v/>
      </c>
    </row>
    <row r="55" spans="1:24" x14ac:dyDescent="0.2">
      <c r="A55" t="s">
        <v>385</v>
      </c>
      <c r="B55" t="s">
        <v>390</v>
      </c>
      <c r="G55">
        <f t="array" ref="G55">SUMPRODUCT(--(Sheet1!$D$19:$D$27="JMC 075")+(Sheet1!$D$34:$D$42="JMC 075")+(Sheet1!$D$54:$D$62="JMC 075")+(Sheet1!$D$68:$D$76="JMC 075")+(Sheet1!$D$82:$D$90="JMC 075")+(Sheet1!$D$104:$D$112="JMC 075")+(Sheet1!$D$118:$D$126="JMC 075")+(Sheet1!$D$132:$D$140="JMC 075")+(Sheet1!$D$154:$D$162="JMC 075")+(Sheet1!$D$168:$D$176="JMC 075")+(Sheet1!$D$183:$D$191="JMC 075"))</f>
        <v>0</v>
      </c>
      <c r="T55" t="str">
        <v/>
      </c>
      <c r="U55" t="str">
        <v/>
      </c>
      <c r="W55" t="str">
        <v/>
      </c>
      <c r="X55" t="str">
        <v/>
      </c>
    </row>
    <row r="56" spans="1:24" x14ac:dyDescent="0.2">
      <c r="A56" t="s">
        <v>353</v>
      </c>
      <c r="B56" t="s">
        <v>354</v>
      </c>
      <c r="G56">
        <f t="array" ref="G56">SUMPRODUCT(--(Sheet1!$D$19:$D$27="JMC 105")+(Sheet1!$D$34:$D$42="JMC 105")+(Sheet1!$D$54:$D$62="JMC 105")+(Sheet1!$D$68:$D$76="JMC 105")+(Sheet1!$D$82:$D$90="JMC 105")+(Sheet1!$D$104:$D$112="JMC 105")+(Sheet1!$D$118:$D$126="JMC 105")+(Sheet1!$D$132:$D$140="JMC 105")+(Sheet1!$D$154:$D$162="JMC 105")+(Sheet1!$D$168:$D$176="JMC 105")+(Sheet1!$D$183:$D$191="JMC 105"))</f>
        <v>0</v>
      </c>
      <c r="T56" t="str">
        <f t="array" ref="T56:T64">IFERROR(INDEX(Sheet1!$D$118:$D$126,SMALL(IF(Sheet1!$B$118:$B$126="JMC",IF((Sheet1!$D$118:$D$126&lt;&gt;$A$65:$A$71)*(Sheet1!$D$118:$D$126&lt;&gt;$A$2:$A$9),ROW(Sheet1!$D$118:$D$126)-ROW(Sheet1!$D$118)+1)),ROW()-55),1),"")</f>
        <v/>
      </c>
      <c r="U56" t="str">
        <f t="array" ref="U56:U64">IFERROR(INDEX(Sheet1!$H$118:$H$126,SMALL(IF(Sheet1!$B$118:$B$126="JMC",IF((Sheet1!$D$118:$D$126&lt;&gt;$A$65:$A$71)*(Sheet1!$D$118:$D$126&lt;&gt;$A$2:$A$9),ROW(Sheet1!$D$118:$D$126)-ROW(Sheet1!$D$118)+1)),ROW()-55),1),"")</f>
        <v/>
      </c>
      <c r="W56" t="str">
        <f>IFERROR(INDEX(Sheet1!$D$118:$D$126,SMALL(IF(Sheet1!$D$118:$D$126={"JMC 076","JMC 099","POLS 114","POLS 166"},ROW(Sheet1!$D$118:$D$126)-ROW(Sheet1!$D$118)+1),ROW()-55),1),"")</f>
        <v/>
      </c>
      <c r="X56" t="str">
        <f t="array" ref="X56:X64">IFERROR(INDEX(Sheet1!$H$118:$H$126,SMALL(IF(Sheet1!$D$118:$D$126={"JMC 076","JMC 099","POLS 114","POLS 166"},ROW(Sheet1!$D$118:$D$126)-ROW(Sheet1!$D$118)+1),ROW()-55),1),"")</f>
        <v/>
      </c>
    </row>
    <row r="57" spans="1:24" x14ac:dyDescent="0.2">
      <c r="A57" t="s">
        <v>372</v>
      </c>
      <c r="B57" t="s">
        <v>378</v>
      </c>
      <c r="G57">
        <f t="array" ref="G57">SUMPRODUCT(--(Sheet1!$D$19:$D$27="JMC 172")+(Sheet1!$D$34:$D$42="JMC 172")+(Sheet1!$D$54:$D$62="JMC 172")+(Sheet1!$D$68:$D$76="JMC 172")+(Sheet1!$D$82:$D$90="JMC 172")+(Sheet1!$D$104:$D$112="JMC 172")+(Sheet1!$D$118:$D$126="JMC 172")+(Sheet1!$D$132:$D$140="JMC 172")+(Sheet1!$D$154:$D$162="JMC 172")+(Sheet1!$D$168:$D$176="JMC 172")+(Sheet1!$D$183:$D$191="JMC 172"))</f>
        <v>0</v>
      </c>
      <c r="T57" t="str">
        <v/>
      </c>
      <c r="U57" t="str">
        <v/>
      </c>
      <c r="W57" t="str">
        <f>IFERROR(INDEX(Sheet1!$D$118:$D$126,SMALL(IF(Sheet1!$D$118:$D$126={"JMC 076","JMC 099","POLS 114","POLS 166"},ROW(Sheet1!$D$118:$D$126)-ROW(Sheet1!$D$118)+1),ROW()-55),1),"")</f>
        <v/>
      </c>
      <c r="X57" t="str">
        <v/>
      </c>
    </row>
    <row r="58" spans="1:24" x14ac:dyDescent="0.2">
      <c r="A58" t="s">
        <v>367</v>
      </c>
      <c r="B58" t="s">
        <v>391</v>
      </c>
      <c r="G58">
        <f t="array" ref="G58">SUMPRODUCT(--(Sheet1!$D$19:$D$27="JMC 114")+(Sheet1!$D$34:$D$42="JMC 114")+(Sheet1!$D$54:$D$62="JMC 114")+(Sheet1!$D$68:$D$76="JMC 114")+(Sheet1!$D$82:$D$90="JMC 114")+(Sheet1!$D$104:$D$112="JMC 114")+(Sheet1!$D$118:$D$126="JMC 114")+(Sheet1!$D$132:$D$140="JMC 114")+(Sheet1!$D$154:$D$162="JMC 114")+(Sheet1!$D$168:$D$176="JMC 114")+(Sheet1!$D$183:$D$191="JMC 114"))</f>
        <v>0</v>
      </c>
      <c r="T58" t="str">
        <v/>
      </c>
      <c r="U58" t="str">
        <v/>
      </c>
      <c r="W58" t="str">
        <f>IFERROR(INDEX(Sheet1!$D$118:$D$126,SMALL(IF(Sheet1!$D$118:$D$126={"JMC 076","JMC 099","POLS 114","POLS 166"},ROW(Sheet1!$D$118:$D$126)-ROW(Sheet1!$D$118)+1),ROW()-55),1),"")</f>
        <v/>
      </c>
      <c r="X58" t="str">
        <v/>
      </c>
    </row>
    <row r="59" spans="1:24" x14ac:dyDescent="0.2">
      <c r="A59" t="s">
        <v>386</v>
      </c>
      <c r="B59" t="s">
        <v>392</v>
      </c>
      <c r="G59">
        <f t="array" ref="G59">SUMPRODUCT(--(Sheet1!$D$19:$D$27="JMC 115")+(Sheet1!$D$34:$D$42="JMC 115")+(Sheet1!$D$54:$D$62="JMC 115")+(Sheet1!$D$68:$D$76="JMC 115")+(Sheet1!$D$82:$D$90="JMC 115")+(Sheet1!$D$104:$D$112="JMC 115")+(Sheet1!$D$118:$D$126="JMC 115")+(Sheet1!$D$132:$D$140="JMC 115")+(Sheet1!$D$154:$D$162="JMC 115")+(Sheet1!$D$168:$D$176="JMC 115")+(Sheet1!$D$183:$D$191="JMC 115"))</f>
        <v>0</v>
      </c>
      <c r="T59" t="str">
        <v/>
      </c>
      <c r="U59" t="str">
        <v/>
      </c>
      <c r="W59" t="str">
        <f>IFERROR(INDEX(Sheet1!$D$118:$D$126,SMALL(IF(Sheet1!$D$118:$D$126={"JMC 076","JMC 099","POLS 114","POLS 166"},ROW(Sheet1!$D$118:$D$126)-ROW(Sheet1!$D$118)+1),ROW()-55),1),"")</f>
        <v/>
      </c>
      <c r="X59" t="str">
        <v/>
      </c>
    </row>
    <row r="60" spans="1:24" x14ac:dyDescent="0.2">
      <c r="A60" t="s">
        <v>387</v>
      </c>
      <c r="B60" t="s">
        <v>393</v>
      </c>
      <c r="G60">
        <f t="array" ref="G60">SUMPRODUCT(--(Sheet1!$D$19:$D$27="JMC 116")+(Sheet1!$D$34:$D$42="JMC 116")+(Sheet1!$D$54:$D$62="JMC 116")+(Sheet1!$D$68:$D$76="JMC 116")+(Sheet1!$D$82:$D$90="JMC 116")+(Sheet1!$D$104:$D$112="JMC 116")+(Sheet1!$D$118:$D$126="JMC 116")+(Sheet1!$D$132:$D$140="JMC 116")+(Sheet1!$D$154:$D$162="JMC 116")+(Sheet1!$D$168:$D$176="JMC 116")+(Sheet1!$D$183:$D$191="JMC 116"))</f>
        <v>0</v>
      </c>
      <c r="T60" t="str">
        <v/>
      </c>
      <c r="U60" t="str">
        <v/>
      </c>
      <c r="W60" t="str">
        <f>IFERROR(INDEX(Sheet1!$D$118:$D$126,SMALL(IF(Sheet1!$D$118:$D$126={"JMC 076","JMC 099","POLS 114","POLS 166"},ROW(Sheet1!$D$118:$D$126)-ROW(Sheet1!$D$118)+1),ROW()-55),1),"")</f>
        <v/>
      </c>
      <c r="X60" t="str">
        <v/>
      </c>
    </row>
    <row r="61" spans="1:24" x14ac:dyDescent="0.2">
      <c r="T61" t="str">
        <v/>
      </c>
      <c r="U61" t="str">
        <v/>
      </c>
      <c r="W61" t="str">
        <f>IFERROR(INDEX(Sheet1!$D$118:$D$126,SMALL(IF(Sheet1!$D$118:$D$126={"JMC 076","JMC 099","POLS 114","POLS 166"},ROW(Sheet1!$D$118:$D$126)-ROW(Sheet1!$D$118)+1),ROW()-55),1),"")</f>
        <v/>
      </c>
      <c r="X61" t="str">
        <v/>
      </c>
    </row>
    <row r="62" spans="1:24" x14ac:dyDescent="0.2">
      <c r="T62" t="str">
        <v/>
      </c>
      <c r="U62" t="str">
        <v/>
      </c>
      <c r="W62" t="str">
        <f>IFERROR(INDEX(Sheet1!$D$118:$D$126,SMALL(IF(Sheet1!$D$118:$D$126={"JMC 076","JMC 099","POLS 114","POLS 166"},ROW(Sheet1!$D$118:$D$126)-ROW(Sheet1!$D$118)+1),ROW()-55),1),"")</f>
        <v/>
      </c>
      <c r="X62" t="str">
        <v/>
      </c>
    </row>
    <row r="63" spans="1:24" x14ac:dyDescent="0.2">
      <c r="T63" t="str">
        <v/>
      </c>
      <c r="U63" t="str">
        <v/>
      </c>
      <c r="W63" t="str">
        <f>IFERROR(INDEX(Sheet1!$D$118:$D$126,SMALL(IF(Sheet1!$D$118:$D$126={"JMC 076","JMC 099","POLS 114","POLS 166"},ROW(Sheet1!$D$118:$D$126)-ROW(Sheet1!$D$118)+1),ROW()-55),1),"")</f>
        <v/>
      </c>
      <c r="X63" t="str">
        <v/>
      </c>
    </row>
    <row r="64" spans="1:24" x14ac:dyDescent="0.2">
      <c r="A64" t="s">
        <v>394</v>
      </c>
      <c r="T64" t="str">
        <v/>
      </c>
      <c r="U64" t="str">
        <v/>
      </c>
      <c r="W64" t="str">
        <f>IFERROR(INDEX(Sheet1!$D$118:$D$126,SMALL(IF(Sheet1!$D$118:$D$126={"JMC 076","JMC 099","POLS 114","POLS 166"},ROW(Sheet1!$D$118:$D$126)-ROW(Sheet1!$D$118)+1),ROW()-55),1),"")</f>
        <v/>
      </c>
      <c r="X64" t="str">
        <v/>
      </c>
    </row>
    <row r="65" spans="1:24" x14ac:dyDescent="0.2">
      <c r="A65" t="s">
        <v>371</v>
      </c>
      <c r="B65" t="s">
        <v>377</v>
      </c>
      <c r="G65">
        <f t="array" ref="G65">SUMPRODUCT(--(Sheet1!$D$19:$D$27="JMC 063")+(Sheet1!$D$34:$D$42="JMC 063")+(Sheet1!$D$54:$D$62="JMC 063")+(Sheet1!$D$68:$D$76="JMC 063")+(Sheet1!$D$82:$D$90="JMC 063")+(Sheet1!$D$104:$D$112="JMC 063")+(Sheet1!$D$118:$D$126="JMC 063")+(Sheet1!$D$132:$D$140="JMC 063")+(Sheet1!$D$154:$D$162="JMC 063")+(Sheet1!$D$168:$D$176="JMC 063")+(Sheet1!$D$183:$D$191="JMC 063"))</f>
        <v>0</v>
      </c>
      <c r="T65" t="str">
        <f t="array" ref="T65:T73">IFERROR(INDEX(Sheet1!$D$132:$D$140,SMALL(IF(Sheet1!$B$132:$B$140="JMC",IF((Sheet1!$D$132:$D$140&lt;&gt;$A$65:$A$71)*(Sheet1!$D$132:$D$140&lt;&gt;$A$2:$A$9),ROW(Sheet1!$D$132:$D$140)-ROW(Sheet1!$D$132)+1)),ROW()-64),1),"")</f>
        <v/>
      </c>
      <c r="U65" t="str">
        <f t="array" ref="U65:U73">IFERROR(INDEX(Sheet1!$H$132:$H$140,SMALL(IF(Sheet1!$B$132:$B$140="JMC",IF((Sheet1!$D$132:$D$140&lt;&gt;$A$65:$A$71)*(Sheet1!$D$132:$D$140&lt;&gt;$A$2:$A$9),ROW(Sheet1!$D$132:$D$140)-ROW(Sheet1!$D$132)+1)),ROW()-64),1),"")</f>
        <v/>
      </c>
      <c r="W65" t="str">
        <f t="array" ref="W65:W73">IFERROR(INDEX(Sheet1!$D$132:$D$140,SMALL(IF(Sheet1!$D$132:$D$140={"JMC 076","JMC 099","POLS 114","POLS 166"},ROW(Sheet1!$D$132:$D$140)-ROW(Sheet1!$D$132)+1),ROW()-64),1),"")</f>
        <v/>
      </c>
      <c r="X65" t="str">
        <f t="array" ref="X65:X73">IFERROR(INDEX(Sheet1!$H$132:$H$140,SMALL(IF(Sheet1!$D$132:$D$140={"JMC 076","JMC 099","POLS 114","POLS 166"},ROW(Sheet1!$D$132:$D$140)-ROW(Sheet1!$D$132)+1),ROW()-64),1),"")</f>
        <v/>
      </c>
    </row>
    <row r="66" spans="1:24" x14ac:dyDescent="0.2">
      <c r="A66" t="s">
        <v>373</v>
      </c>
      <c r="B66" t="s">
        <v>379</v>
      </c>
      <c r="G66">
        <f t="array" ref="G66">SUMPRODUCT(--(Sheet1!$D$19:$D$27="JMC 070")+(Sheet1!$D$34:$D$42="JMC 070")+(Sheet1!$D$54:$D$62="JMC 070")+(Sheet1!$D$68:$D$76="JMC 070")+(Sheet1!$D$82:$D$90="JMC 070")+(Sheet1!$D$104:$D$112="JMC 070")+(Sheet1!$D$118:$D$126="JMC 070")+(Sheet1!$D$132:$D$140="JMC 070")+(Sheet1!$D$154:$D$162="JMC 070")+(Sheet1!$D$168:$D$176="JMC 070")+(Sheet1!$D$183:$D$191="JMC 070"))</f>
        <v>0</v>
      </c>
      <c r="T66" t="str">
        <v/>
      </c>
      <c r="U66" t="str">
        <v/>
      </c>
      <c r="W66" t="str">
        <v/>
      </c>
      <c r="X66" t="str">
        <v/>
      </c>
    </row>
    <row r="67" spans="1:24" x14ac:dyDescent="0.2">
      <c r="A67" t="s">
        <v>395</v>
      </c>
      <c r="B67" t="s">
        <v>398</v>
      </c>
      <c r="G67">
        <f t="array" ref="G67">SUMPRODUCT(--(Sheet1!$D$19:$D$27="JMC 098")+(Sheet1!$D$34:$D$42="JMC 098")+(Sheet1!$D$54:$D$62="JMC 098")+(Sheet1!$D$68:$D$76="JMC 098")+(Sheet1!$D$82:$D$90="JMC 098")+(Sheet1!$D$104:$D$112="JMC 098")+(Sheet1!$D$118:$D$126="JMC 098")+(Sheet1!$D$132:$D$140="JMC 098")+(Sheet1!$D$154:$D$162="JMC 098")+(Sheet1!$D$168:$D$176="JMC 098")+(Sheet1!$D$183:$D$191="JMC 098"))</f>
        <v>0</v>
      </c>
      <c r="T67" t="str">
        <v/>
      </c>
      <c r="U67" t="str">
        <v/>
      </c>
      <c r="W67" t="str">
        <v/>
      </c>
      <c r="X67" t="str">
        <v/>
      </c>
    </row>
    <row r="68" spans="1:24" x14ac:dyDescent="0.2">
      <c r="A68" t="s">
        <v>396</v>
      </c>
      <c r="B68" t="s">
        <v>399</v>
      </c>
      <c r="G68">
        <f t="array" ref="G68">SUMPRODUCT(--(Sheet1!$D$19:$D$27="JMC 103")+(Sheet1!$D$34:$D$42="JMC 103")+(Sheet1!$D$54:$D$62="JMC 103")+(Sheet1!$D$68:$D$76="JMC 103")+(Sheet1!$D$82:$D$90="JMC 103")+(Sheet1!$D$104:$D$112="JMC 103")+(Sheet1!$D$118:$D$126="JMC 103")+(Sheet1!$D$132:$D$140="JMC 103")+(Sheet1!$D$154:$D$162="JMC 103")+(Sheet1!$D$168:$D$176="JMC 103")+(Sheet1!$D$183:$D$191="JMC 103"))</f>
        <v>0</v>
      </c>
      <c r="T68" t="str">
        <v/>
      </c>
      <c r="U68" t="str">
        <v/>
      </c>
      <c r="W68" t="str">
        <v/>
      </c>
      <c r="X68" t="str">
        <v/>
      </c>
    </row>
    <row r="69" spans="1:24" x14ac:dyDescent="0.2">
      <c r="A69" t="s">
        <v>353</v>
      </c>
      <c r="B69" t="s">
        <v>354</v>
      </c>
      <c r="G69">
        <f t="array" ref="G69">SUMPRODUCT(--(Sheet1!$D$19:$D$27="JMC 105")+(Sheet1!$D$34:$D$42="JMC 105")+(Sheet1!$D$54:$D$62="JMC 105")+(Sheet1!$D$68:$D$76="JMC 105")+(Sheet1!$D$82:$D$90="JMC 105")+(Sheet1!$D$104:$D$112="JMC 105")+(Sheet1!$D$118:$D$126="JMC 105")+(Sheet1!$D$132:$D$140="JMC 105")+(Sheet1!$D$154:$D$162="JMC 105")+(Sheet1!$D$168:$D$176="JMC 105")+(Sheet1!$D$183:$D$191="JMC 105"))</f>
        <v>0</v>
      </c>
      <c r="T69" t="str">
        <v/>
      </c>
      <c r="U69" t="str">
        <v/>
      </c>
      <c r="W69" t="str">
        <v/>
      </c>
      <c r="X69" t="str">
        <v/>
      </c>
    </row>
    <row r="70" spans="1:24" x14ac:dyDescent="0.2">
      <c r="A70" t="s">
        <v>372</v>
      </c>
      <c r="B70" t="s">
        <v>378</v>
      </c>
      <c r="G70">
        <f t="array" ref="G70">SUMPRODUCT(--(Sheet1!$D$19:$D$27="JMC 172")+(Sheet1!$D$34:$D$42="JMC 172")+(Sheet1!$D$54:$D$62="JMC 172")+(Sheet1!$D$68:$D$76="JMC 172")+(Sheet1!$D$82:$D$90="JMC 172")+(Sheet1!$D$104:$D$112="JMC 172")+(Sheet1!$D$118:$D$126="JMC 172")+(Sheet1!$D$132:$D$140="JMC 172")+(Sheet1!$D$154:$D$162="JMC 172")+(Sheet1!$D$168:$D$176="JMC 172")+(Sheet1!$D$183:$D$191="JMC 172"))</f>
        <v>0</v>
      </c>
      <c r="T70" t="str">
        <v/>
      </c>
      <c r="U70" t="str">
        <v/>
      </c>
      <c r="W70" t="str">
        <v/>
      </c>
      <c r="X70" t="str">
        <v/>
      </c>
    </row>
    <row r="71" spans="1:24" x14ac:dyDescent="0.2">
      <c r="A71" t="s">
        <v>397</v>
      </c>
      <c r="B71" t="s">
        <v>400</v>
      </c>
      <c r="G71">
        <f t="array" ref="G71">SUMPRODUCT(--(Sheet1!$D$19:$D$27="HIST 076")+(Sheet1!$D$34:$D$42="HIST 076")+(Sheet1!$D$54:$D$62="HIST 076")+(Sheet1!$D$68:$D$76="HIST 076")+(Sheet1!$D$82:$D$90="HIST 076")+(Sheet1!$D$104:$D$112="HIST 076")+(Sheet1!$D$118:$D$126="HIST 076")+(Sheet1!$D$132:$D$140="HIST 076")+(Sheet1!$D$154:$D$162="HIST 076")+(Sheet1!$D$168:$D$176="HIST 076")+(Sheet1!$D$183:$D$191="HIST 076"))</f>
        <v>0</v>
      </c>
      <c r="T71" t="str">
        <v/>
      </c>
      <c r="U71" t="str">
        <v/>
      </c>
      <c r="W71" t="str">
        <v/>
      </c>
      <c r="X71" t="str">
        <v/>
      </c>
    </row>
    <row r="72" spans="1:24" x14ac:dyDescent="0.2">
      <c r="A72" t="s">
        <v>1373</v>
      </c>
      <c r="B72" t="s">
        <v>1374</v>
      </c>
      <c r="G72">
        <f>$U$101</f>
        <v>0</v>
      </c>
      <c r="T72" t="str">
        <v/>
      </c>
      <c r="U72" t="str">
        <v/>
      </c>
      <c r="W72" t="str">
        <v/>
      </c>
      <c r="X72" t="str">
        <v/>
      </c>
    </row>
    <row r="73" spans="1:24" x14ac:dyDescent="0.2">
      <c r="A73" t="s">
        <v>1375</v>
      </c>
      <c r="B73" t="str">
        <f t="array" ref="B73:B74">IFERROR(INDEX($T$2:$T$100,SMALL(IF($T$2:$T$100&lt;&gt;"",ROW($T$2:$T$100)-ROW($T$2)+1),ROW()-72),1),"")</f>
        <v/>
      </c>
      <c r="T73" t="str">
        <v/>
      </c>
      <c r="U73" t="str">
        <v/>
      </c>
      <c r="W73" t="str">
        <v/>
      </c>
      <c r="X73" t="str">
        <v/>
      </c>
    </row>
    <row r="74" spans="1:24" x14ac:dyDescent="0.2">
      <c r="A74" t="s">
        <v>1375</v>
      </c>
      <c r="B74" t="str">
        <v/>
      </c>
      <c r="T74" t="str">
        <f t="array" ref="T74:T82">IFERROR(INDEX(Sheet1!$D$154:$D$162,SMALL(IF(Sheet1!$B$154:$B$162="JMC",IF((Sheet1!$D$154:$D$162&lt;&gt;$A$65:$A$71)*(Sheet1!$D$154:$D$162&lt;&gt;$A$2:$A$9),ROW(Sheet1!$D$154:$D$162)-ROW(Sheet1!$D$154)+1)),ROW()-73),1),"")</f>
        <v/>
      </c>
      <c r="U74" t="str">
        <f t="array" ref="U74:U82">IFERROR(INDEX(Sheet1!$H$154:$H$162,SMALL(IF(Sheet1!$B$154:$B$162="JMC",IF((Sheet1!$D$154:$D$162&lt;&gt;$A$65:$A$71)*(Sheet1!$D$154:$D$162&lt;&gt;$A$2:$A$9),ROW(Sheet1!$D$154:$D$162)-ROW(Sheet1!$D$154)+1)),ROW()-73),1),"")</f>
        <v/>
      </c>
      <c r="W74" t="str">
        <f t="array" ref="W74:W82">IFERROR(INDEX(Sheet1!$D$154:$D$162,SMALL(IF(Sheet1!$D$154:$D$162={"JMC 076","JMC 099","POLS 114","POLS 166"},ROW(Sheet1!$D$154:$D$162)-ROW(Sheet1!$D$154)+1),ROW()-73),1),"")</f>
        <v/>
      </c>
      <c r="X74" t="str">
        <f t="array" ref="X74:X82">IFERROR(INDEX(Sheet1!$H$154:$H$162,SMALL(IF(Sheet1!$D$154:$D$162={"JMC 076","JMC 099","POLS 114","POLS 166"},ROW(Sheet1!$D$154:$D$162)-ROW(Sheet1!$D$154)+1),ROW()-73),1),"")</f>
        <v/>
      </c>
    </row>
    <row r="75" spans="1:24" x14ac:dyDescent="0.2">
      <c r="T75" t="str">
        <v/>
      </c>
      <c r="U75" t="str">
        <v/>
      </c>
      <c r="W75" t="str">
        <v/>
      </c>
      <c r="X75" t="str">
        <v/>
      </c>
    </row>
    <row r="76" spans="1:24" x14ac:dyDescent="0.2">
      <c r="T76" t="str">
        <v/>
      </c>
      <c r="U76" t="str">
        <v/>
      </c>
      <c r="W76" t="str">
        <v/>
      </c>
      <c r="X76" t="str">
        <v/>
      </c>
    </row>
    <row r="77" spans="1:24" x14ac:dyDescent="0.2">
      <c r="A77" t="s">
        <v>401</v>
      </c>
      <c r="T77" t="str">
        <v/>
      </c>
      <c r="U77" t="str">
        <v/>
      </c>
      <c r="W77" t="str">
        <v/>
      </c>
      <c r="X77" t="str">
        <v/>
      </c>
    </row>
    <row r="78" spans="1:24" x14ac:dyDescent="0.2">
      <c r="A78" t="s">
        <v>324</v>
      </c>
      <c r="B78" t="s">
        <v>325</v>
      </c>
      <c r="G78">
        <f>SUMPRODUCT(--(Sheet1!$D$19:$D$27="JMC 085")+(Sheet1!$D$34:$D$42="JMC 085")+(Sheet1!$D$54:$D$62="JMC 085")+(Sheet1!$D$68:$D$76="JMC 085")+(Sheet1!$D$82:$D$90="JMC 085")+(Sheet1!$D$104:$D$112="JMC 085")+(Sheet1!$D$118:$D$126="JMC 085")+(Sheet1!$D$132:$D$140="JMC 085")+(Sheet1!$D$154:$D$162="JMC 085")+(Sheet1!$D$168:$D$176="JMC 085")+(Sheet1!$D$183:$D$191="JMC 085"))</f>
        <v>0</v>
      </c>
      <c r="T78" t="str">
        <v/>
      </c>
      <c r="U78" t="str">
        <v/>
      </c>
      <c r="W78" t="str">
        <v/>
      </c>
      <c r="X78" t="str">
        <v/>
      </c>
    </row>
    <row r="79" spans="1:24" x14ac:dyDescent="0.2">
      <c r="A79" t="s">
        <v>402</v>
      </c>
      <c r="B79" t="s">
        <v>414</v>
      </c>
      <c r="G79">
        <f t="array" ref="G79">SUMPRODUCT(--(Sheet1!$D$19:$D$27="JMC 088")+(Sheet1!$D$34:$D$42="JMC 088")+(Sheet1!$D$54:$D$62="JMC 088")+(Sheet1!$D$68:$D$76="JMC 088")+(Sheet1!$D$82:$D$90="JMC 088")+(Sheet1!$D$104:$D$112="JMC 088")+(Sheet1!$D$118:$D$126="JMC 088")+(Sheet1!$D$132:$D$140="JMC 088")+(Sheet1!$D$154:$D$162="JMC 088")+(Sheet1!$D$168:$D$176="JMC 088")+(Sheet1!$D$183:$D$191="JMC 088"))</f>
        <v>0</v>
      </c>
      <c r="T79" t="str">
        <v/>
      </c>
      <c r="U79" t="str">
        <v/>
      </c>
      <c r="W79" t="str">
        <v/>
      </c>
      <c r="X79" t="str">
        <v/>
      </c>
    </row>
    <row r="80" spans="1:24" x14ac:dyDescent="0.2">
      <c r="A80" t="s">
        <v>326</v>
      </c>
      <c r="B80" t="s">
        <v>327</v>
      </c>
      <c r="G80">
        <f t="array" ref="G80">SUMPRODUCT(--(Sheet1!$D$19:$D$27="JMC 123")+(Sheet1!$D$34:$D$42="JMC 123")+(Sheet1!$D$54:$D$62="JMC 123")+(Sheet1!$D$68:$D$76="JMC 123")+(Sheet1!$D$82:$D$90="JMC 123")+(Sheet1!$D$104:$D$112="JMC 123")+(Sheet1!$D$118:$D$126="JMC 123")+(Sheet1!$D$132:$D$140="JMC 123")+(Sheet1!$D$154:$D$162="JMC 123")+(Sheet1!$D$168:$D$176="JMC 123")+(Sheet1!$D$183:$D$191="JMC 123"))</f>
        <v>0</v>
      </c>
      <c r="T80" t="str">
        <v/>
      </c>
      <c r="U80" t="str">
        <v/>
      </c>
      <c r="W80" t="str">
        <v/>
      </c>
      <c r="X80" t="str">
        <v/>
      </c>
    </row>
    <row r="81" spans="1:24" x14ac:dyDescent="0.2">
      <c r="A81" t="s">
        <v>330</v>
      </c>
      <c r="B81" t="s">
        <v>415</v>
      </c>
      <c r="G81">
        <f t="array" ref="G81">SUMPRODUCT(--(Sheet1!$D$19:$D$27="JMC 143")+(Sheet1!$D$34:$D$42="JMC 143")+(Sheet1!$D$54:$D$62="JMC 143")+(Sheet1!$D$68:$D$76="JMC 143")+(Sheet1!$D$82:$D$90="JMC 143")+(Sheet1!$D$104:$D$112="JMC 143")+(Sheet1!$D$118:$D$126="JMC 143")+(Sheet1!$D$132:$D$140="JMC 143")+(Sheet1!$D$154:$D$162="JMC 143")+(Sheet1!$D$168:$D$176="JMC 143")+(Sheet1!$D$183:$D$191="JMC 143"))</f>
        <v>0</v>
      </c>
      <c r="T81" t="str">
        <v/>
      </c>
      <c r="U81" t="str">
        <v/>
      </c>
      <c r="W81" t="str">
        <v/>
      </c>
      <c r="X81" t="str">
        <v/>
      </c>
    </row>
    <row r="82" spans="1:24" x14ac:dyDescent="0.2">
      <c r="A82" t="s">
        <v>403</v>
      </c>
      <c r="B82" t="s">
        <v>416</v>
      </c>
      <c r="G82">
        <f t="array" ref="G82">SUMPRODUCT(--(Sheet1!$D$19:$D$27="JMC 138")+(Sheet1!$D$34:$D$42="JMC 138")+(Sheet1!$D$54:$D$62="JMC 138")+(Sheet1!$D$68:$D$76="JMC 138")+(Sheet1!$D$82:$D$90="JMC 138")+(Sheet1!$D$104:$D$112="JMC 138")+(Sheet1!$D$118:$D$126="JMC 138")+(Sheet1!$D$132:$D$140="JMC 138")+(Sheet1!$D$154:$D$162="JMC 138")+(Sheet1!$D$168:$D$176="JMC 138")+(Sheet1!$D$183:$D$191="JMC 138"))</f>
        <v>0</v>
      </c>
      <c r="T82" t="str">
        <v/>
      </c>
      <c r="U82" t="str">
        <v/>
      </c>
      <c r="W82" t="str">
        <v/>
      </c>
      <c r="X82" t="str">
        <v/>
      </c>
    </row>
    <row r="83" spans="1:24" x14ac:dyDescent="0.2">
      <c r="A83" t="s">
        <v>404</v>
      </c>
      <c r="B83" t="s">
        <v>417</v>
      </c>
      <c r="G83">
        <f t="array" ref="G83">SUMPRODUCT(--(Sheet1!$D$19:$D$27="JMC 147")+(Sheet1!$D$34:$D$42="JMC 147")+(Sheet1!$D$54:$D$62="JMC 147")+(Sheet1!$D$68:$D$76="JMC 147")+(Sheet1!$D$82:$D$90="JMC 147")+(Sheet1!$D$104:$D$112="JMC 147")+(Sheet1!$D$118:$D$126="JMC 147")+(Sheet1!$D$132:$D$140="JMC 147")+(Sheet1!$D$154:$D$162="JMC 147")+(Sheet1!$D$168:$D$176="JMC 147")+(Sheet1!$D$183:$D$191="JMC 147"))</f>
        <v>0</v>
      </c>
      <c r="T83" t="str">
        <f t="array" ref="T83:T91">IFERROR(INDEX(Sheet1!$D$168:$D$176,SMALL(IF(Sheet1!$B$168:$B$176="JMC",IF((Sheet1!$D$168:$D$176&lt;&gt;$A$65:$A$71)*(Sheet1!$D$168:$D$176&lt;&gt;$A$2:$A$9),ROW(Sheet1!$D$168:$D$176)-ROW(Sheet1!$D$168)+1)),ROW()-82),1),"")</f>
        <v/>
      </c>
      <c r="U83" t="str">
        <f t="array" ref="U83:U91">IFERROR(INDEX(Sheet1!$H$168:$H$176,SMALL(IF(Sheet1!$B$168:$B$176="JMC",IF((Sheet1!$D$168:$D$176&lt;&gt;$A$65:$A$71)*(Sheet1!$D$168:$D$176&lt;&gt;$A$2:$A$9),ROW(Sheet1!$D$168:$D$176)-ROW(Sheet1!$D$168)+1)),ROW()-82),1),"")</f>
        <v/>
      </c>
      <c r="W83" t="str">
        <f t="array" ref="W83:W91">IFERROR(INDEX(Sheet1!$D$168:$D$176,SMALL(IF(Sheet1!$D$168:$D$176={"JMC 076","JMC 099","POLS 114","POLS 166"},ROW(Sheet1!$D$168:$D$176)-ROW(Sheet1!$D$168)+1),ROW()-82),1),"")</f>
        <v/>
      </c>
      <c r="X83" t="str">
        <f t="array" ref="X83:X91">IFERROR(INDEX(Sheet1!$H$168:$H$176,SMALL(IF(Sheet1!$D$168:$D$176={"JMC 076","JMC 099","POLS 114","POLS 166"},ROW(Sheet1!$D$168:$D$176)-ROW(Sheet1!$D$168)+1),ROW()-82),1),"")</f>
        <v/>
      </c>
    </row>
    <row r="84" spans="1:24" x14ac:dyDescent="0.2">
      <c r="A84" t="s">
        <v>405</v>
      </c>
      <c r="B84" t="s">
        <v>418</v>
      </c>
      <c r="G84">
        <f t="array" ref="G84">SUMPRODUCT(--(Sheet1!$D$19:$D$27="SCSR 128")+(Sheet1!$D$34:$D$42="SCSR 128")+(Sheet1!$D$54:$D$62="SCSR 128")+(Sheet1!$D$68:$D$76="SCSR 128")+(Sheet1!$D$82:$D$90="SCSR 128")+(Sheet1!$D$104:$D$112="SCSR 128")+(Sheet1!$D$118:$D$126="SCSR 128")+(Sheet1!$D$132:$D$140="SCSR 128")+(Sheet1!$D$154:$D$162="SCSR 128")+(Sheet1!$D$168:$D$176="SCSR 128")+(Sheet1!$D$183:$D$191="SCSR 128"))</f>
        <v>0</v>
      </c>
      <c r="T84" t="str">
        <v/>
      </c>
      <c r="U84" t="str">
        <v/>
      </c>
      <c r="W84" t="str">
        <v/>
      </c>
      <c r="X84" t="str">
        <v/>
      </c>
    </row>
    <row r="85" spans="1:24" x14ac:dyDescent="0.2">
      <c r="A85" t="s">
        <v>406</v>
      </c>
      <c r="B85" t="s">
        <v>419</v>
      </c>
      <c r="G85">
        <f t="array" ref="G85">SUMPRODUCT(--(Sheet1!$D$19:$D$27="POLS 113")+(Sheet1!$D$34:$D$42="POLS 113")+(Sheet1!$D$54:$D$62="POLS 113")+(Sheet1!$D$68:$D$76="POLS 113")+(Sheet1!$D$82:$D$90="POLS 113")+(Sheet1!$D$104:$D$112="POLS 113")+(Sheet1!$D$118:$D$126="POLS 113")+(Sheet1!$D$132:$D$140="POLS 113")+(Sheet1!$D$154:$D$162="POLS 113")+(Sheet1!$D$168:$D$176="POLS 113")+(Sheet1!$D$183:$D$191="POLS 113"))</f>
        <v>0</v>
      </c>
      <c r="T85" t="str">
        <v/>
      </c>
      <c r="U85" t="str">
        <v/>
      </c>
      <c r="W85" t="str">
        <v/>
      </c>
      <c r="X85" t="str">
        <v/>
      </c>
    </row>
    <row r="86" spans="1:24" x14ac:dyDescent="0.2">
      <c r="A86" t="s">
        <v>407</v>
      </c>
      <c r="B86" t="s">
        <v>420</v>
      </c>
      <c r="G86">
        <f t="array" ref="G86">SUMPRODUCT(--(Sheet1!$D$19:$D$27="POLS 116")+(Sheet1!$D$34:$D$42="POLS 116")+(Sheet1!$D$54:$D$62="POLS 116")+(Sheet1!$D$68:$D$76="POLS 116")+(Sheet1!$D$82:$D$90="POLS 116")+(Sheet1!$D$104:$D$112="POLS 116")+(Sheet1!$D$118:$D$126="POLS 116")+(Sheet1!$D$132:$D$140="POLS 116")+(Sheet1!$D$154:$D$162="POLS 116")+(Sheet1!$D$168:$D$176="POLS 116")+(Sheet1!$D$183:$D$191="POLS 116"))</f>
        <v>0</v>
      </c>
      <c r="T86" t="str">
        <v/>
      </c>
      <c r="U86" t="str">
        <v/>
      </c>
      <c r="W86" t="str">
        <v/>
      </c>
      <c r="X86" t="str">
        <v/>
      </c>
    </row>
    <row r="87" spans="1:24" x14ac:dyDescent="0.2">
      <c r="A87" t="s">
        <v>1381</v>
      </c>
      <c r="B87" t="s">
        <v>1382</v>
      </c>
      <c r="D87" t="s">
        <v>1375</v>
      </c>
      <c r="G87">
        <f t="array" ref="G87">SUMPRODUCT(--(Sheet1!$D$19:$D$27="POLS 095")+(Sheet1!$D$34:$D$42="POLS 095")+(Sheet1!$D$54:$D$62="POLS 095")+(Sheet1!$D$68:$D$76="POLS 095")+(Sheet1!$D$82:$D$90="POLS 095")+(Sheet1!$D$104:$D$112="POLS 095")+(Sheet1!$D$118:$D$126="POLS 095")+(Sheet1!$D$132:$D$140="POLS 095")+(Sheet1!$D$154:$D$162="POLS 095")+(Sheet1!$D$168:$D$176="POLS 095")+(Sheet1!$D$183:$D$191="POLS 095")+(Sheet1!$D$19:$D$27="SCSS 159")+(Sheet1!$D$34:$D$42="SCSS 159")+(Sheet1!$D$54:$D$62="SCSS 159")+(Sheet1!$D$68:$D$76="SCSS 159")+(Sheet1!$D$82:$D$90="SCSS 159")+(Sheet1!$D$104:$D$112="SCSS 159")+(Sheet1!$D$118:$D$126="SCSS 159")+(Sheet1!$D$132:$D$140="SCSS 159")+(Sheet1!$D$154:$D$162="SCSS 159")+(Sheet1!$D$168:$D$176="SCSS 159")+(Sheet1!$D$183:$D$191="SCSS 159")+(Sheet1!$D$19:$D$27="STAT 050")+(Sheet1!$D$34:$D$42="STAT 050")+(Sheet1!$D$54:$D$62="STAT 050")+(Sheet1!$D$68:$D$76="STAT 050")+(Sheet1!$D$82:$D$90="STAT 050")+(Sheet1!$D$104:$D$112="STAT 050")+(Sheet1!$D$118:$D$126="STAT 050")+(Sheet1!$D$132:$D$140="STAT 050")+(Sheet1!$D$154:$D$162="STAT 050")+(Sheet1!$D$168:$D$176="STAT 050")+(Sheet1!$D$183:$D$191="STAT 050"))</f>
        <v>0</v>
      </c>
      <c r="T87" t="str">
        <v/>
      </c>
      <c r="U87" t="str">
        <v/>
      </c>
      <c r="W87" t="str">
        <v/>
      </c>
      <c r="X87" t="str">
        <v/>
      </c>
    </row>
    <row r="88" spans="1:24" x14ac:dyDescent="0.2">
      <c r="A88" t="s">
        <v>1375</v>
      </c>
      <c r="B88" s="20" t="s">
        <v>1378</v>
      </c>
      <c r="G88" t="s">
        <v>1375</v>
      </c>
      <c r="T88" t="str">
        <v/>
      </c>
      <c r="U88" t="str">
        <v/>
      </c>
      <c r="W88" t="str">
        <v/>
      </c>
      <c r="X88" t="str">
        <v/>
      </c>
    </row>
    <row r="89" spans="1:24" x14ac:dyDescent="0.2">
      <c r="A89" t="s">
        <v>1373</v>
      </c>
      <c r="B89" t="s">
        <v>1383</v>
      </c>
      <c r="C89" t="s">
        <v>1375</v>
      </c>
      <c r="D89" t="s">
        <v>1375</v>
      </c>
      <c r="G89">
        <f>$X$101</f>
        <v>0</v>
      </c>
      <c r="T89" t="str">
        <v/>
      </c>
      <c r="U89" t="str">
        <v/>
      </c>
      <c r="W89" t="str">
        <v/>
      </c>
      <c r="X89" t="str">
        <v/>
      </c>
    </row>
    <row r="90" spans="1:24" x14ac:dyDescent="0.2">
      <c r="A90" t="s">
        <v>1375</v>
      </c>
      <c r="B90" s="20" t="s">
        <v>1379</v>
      </c>
      <c r="G90" t="s">
        <v>1375</v>
      </c>
      <c r="T90" t="str">
        <v/>
      </c>
      <c r="U90" t="str">
        <v/>
      </c>
      <c r="W90" t="str">
        <v/>
      </c>
      <c r="X90" t="str">
        <v/>
      </c>
    </row>
    <row r="91" spans="1:24" x14ac:dyDescent="0.2">
      <c r="T91" t="str">
        <v/>
      </c>
      <c r="U91" t="str">
        <v/>
      </c>
      <c r="W91" t="str">
        <v/>
      </c>
      <c r="X91" t="str">
        <v/>
      </c>
    </row>
    <row r="92" spans="1:24" x14ac:dyDescent="0.2">
      <c r="T92" t="str">
        <f t="array" ref="T92:T100">IFERROR(INDEX(Sheet1!$D$183:$D$191,SMALL(IF(Sheet1!$B$183:$B$191="JMC",IF((Sheet1!$D$183:$D$191&lt;&gt;$A$65:$A$71)*(Sheet1!$D$183:$D$191&lt;&gt;$A$2:$A$9),ROW(Sheet1!$D$183:$D$191)-ROW(Sheet1!$D$183)+1)),ROW()-91),1),"")</f>
        <v/>
      </c>
      <c r="U92" t="str">
        <f t="array" ref="U92:U100">IFERROR(INDEX(Sheet1!$H$183:$H$191,SMALL(IF(Sheet1!$B$183:$B$191="JMC",IF((Sheet1!$D$183:$D$191&lt;&gt;$A$65:$A$71)*(Sheet1!$D$183:$D$191&lt;&gt;$A$2:$A$9),ROW(Sheet1!$D$183:$D$191)-ROW(Sheet1!$D$183)+1)),ROW()-91),1),"")</f>
        <v/>
      </c>
      <c r="W92" t="str">
        <f t="array" ref="W92:W100">IFERROR(INDEX(Sheet1!$D$183:$D$191,SMALL(IF(Sheet1!$D$183:$D$191={"JMC 076","JMC 099","POLS 114","POLS 166"},ROW(Sheet1!$D$183:$D$191)-ROW(Sheet1!$D$183)+1),ROW()-91),1),"")</f>
        <v/>
      </c>
      <c r="X92" t="str">
        <f t="array" ref="X92:X100">IFERROR(INDEX(Sheet1!$H$183:$H$191,SMALL(IF(Sheet1!$D$183:$D$191={"JMC 076","JMC 099","POLS 114","POLS 166"},ROW(Sheet1!$D$183:$D$191)-ROW(Sheet1!$D$183)+1),ROW()-91),1),"")</f>
        <v/>
      </c>
    </row>
    <row r="93" spans="1:24" x14ac:dyDescent="0.2">
      <c r="T93" t="str">
        <v/>
      </c>
      <c r="U93" t="str">
        <v/>
      </c>
      <c r="W93" t="str">
        <v/>
      </c>
      <c r="X93" t="str">
        <v/>
      </c>
    </row>
    <row r="94" spans="1:24" x14ac:dyDescent="0.2">
      <c r="T94" t="str">
        <v/>
      </c>
      <c r="U94" t="str">
        <v/>
      </c>
      <c r="W94" t="str">
        <v/>
      </c>
      <c r="X94" t="str">
        <v/>
      </c>
    </row>
    <row r="95" spans="1:24" x14ac:dyDescent="0.2">
      <c r="T95" t="str">
        <v/>
      </c>
      <c r="U95" t="str">
        <v/>
      </c>
      <c r="W95" t="str">
        <v/>
      </c>
      <c r="X95" t="str">
        <v/>
      </c>
    </row>
    <row r="96" spans="1:24" x14ac:dyDescent="0.2">
      <c r="T96" t="str">
        <v/>
      </c>
      <c r="U96" t="str">
        <v/>
      </c>
      <c r="W96" t="str">
        <v/>
      </c>
      <c r="X96" t="str">
        <v/>
      </c>
    </row>
    <row r="97" spans="1:24" x14ac:dyDescent="0.2">
      <c r="T97" t="str">
        <v/>
      </c>
      <c r="U97" t="str">
        <v/>
      </c>
      <c r="W97" t="str">
        <v/>
      </c>
      <c r="X97" t="str">
        <v/>
      </c>
    </row>
    <row r="98" spans="1:24" x14ac:dyDescent="0.2">
      <c r="T98" t="str">
        <v/>
      </c>
      <c r="U98" t="str">
        <v/>
      </c>
      <c r="W98" t="str">
        <v/>
      </c>
      <c r="X98" t="str">
        <v/>
      </c>
    </row>
    <row r="99" spans="1:24" x14ac:dyDescent="0.2">
      <c r="T99" t="str">
        <v/>
      </c>
      <c r="U99" t="str">
        <v/>
      </c>
      <c r="W99" t="str">
        <v/>
      </c>
      <c r="X99" t="str">
        <v/>
      </c>
    </row>
    <row r="100" spans="1:24" x14ac:dyDescent="0.2">
      <c r="A100" t="s">
        <v>408</v>
      </c>
      <c r="B100" t="s">
        <v>421</v>
      </c>
      <c r="T100" t="str">
        <v/>
      </c>
      <c r="U100" t="str">
        <v/>
      </c>
      <c r="W100" t="str">
        <v/>
      </c>
      <c r="X100" t="str">
        <v/>
      </c>
    </row>
    <row r="101" spans="1:24" x14ac:dyDescent="0.2">
      <c r="A101" t="s">
        <v>409</v>
      </c>
      <c r="B101" t="s">
        <v>424</v>
      </c>
      <c r="U101">
        <f>SUM(U2:U100)</f>
        <v>0</v>
      </c>
      <c r="X101">
        <f>SUM(X2:X100)</f>
        <v>0</v>
      </c>
    </row>
    <row r="102" spans="1:24" x14ac:dyDescent="0.2">
      <c r="A102" t="s">
        <v>410</v>
      </c>
      <c r="B102" t="s">
        <v>425</v>
      </c>
    </row>
    <row r="103" spans="1:24" x14ac:dyDescent="0.2">
      <c r="A103" t="s">
        <v>351</v>
      </c>
      <c r="B103" t="s">
        <v>352</v>
      </c>
      <c r="G103">
        <f t="array" ref="G103">SUMPRODUCT(--(Sheet1!$D$19:$D$27="JMC 076")+(Sheet1!$D$34:$D$42="JMC 076")+(Sheet1!$D$54:$D$62="JMC 076")+(Sheet1!$D$68:$D$76="JMC 076")+(Sheet1!$D$82:$D$90="JMC 076")+(Sheet1!$D$104:$D$112="JMC 076")+(Sheet1!$D$118:$D$126="JMC 076")+(Sheet1!$D$132:$D$140="JMC 076")+(Sheet1!$D$154:$D$162="JMC 076")+(Sheet1!$D$168:$D$176="JMC 076")+(Sheet1!$D$183:$D$191="JMC 076"))</f>
        <v>0</v>
      </c>
    </row>
    <row r="104" spans="1:24" x14ac:dyDescent="0.2">
      <c r="A104" t="s">
        <v>411</v>
      </c>
      <c r="B104" t="s">
        <v>426</v>
      </c>
      <c r="G104">
        <f t="array" ref="G104">SUMPRODUCT(--(Sheet1!$D$19:$D$27="JMC 099")+(Sheet1!$D$34:$D$42="JMC 099")+(Sheet1!$D$54:$D$62="JMC 099")+(Sheet1!$D$68:$D$76="JMC 099")+(Sheet1!$D$82:$D$90="JMC 099")+(Sheet1!$D$104:$D$112="JMC 099")+(Sheet1!$D$118:$D$126="JMC 099")+(Sheet1!$D$132:$D$140="JMC 099")+(Sheet1!$D$154:$D$162="JMC 099")+(Sheet1!$D$168:$D$176="JMC 099")+(Sheet1!$D$183:$D$191="JMC 099"))</f>
        <v>0</v>
      </c>
    </row>
    <row r="105" spans="1:24" x14ac:dyDescent="0.2">
      <c r="A105" t="s">
        <v>412</v>
      </c>
      <c r="B105" t="s">
        <v>422</v>
      </c>
      <c r="G105">
        <f t="array" ref="G105">SUMPRODUCT(--(Sheet1!$D$19:$D$27="POLS 114")+(Sheet1!$D$34:$D$42="POLS 114")+(Sheet1!$D$54:$D$62="POLS 114")+(Sheet1!$D$68:$D$76="POLS 114")+(Sheet1!$D$82:$D$90="POLS 114")+(Sheet1!$D$104:$D$112="POLS 114")+(Sheet1!$D$118:$D$126="POLS 114")+(Sheet1!$D$132:$D$140="POLS 114")+(Sheet1!$D$154:$D$162="POLS 114")+(Sheet1!$D$168:$D$176="POLS 114")+(Sheet1!$D$183:$D$191="POLS 114"))</f>
        <v>0</v>
      </c>
    </row>
    <row r="106" spans="1:24" x14ac:dyDescent="0.2">
      <c r="A106" t="s">
        <v>413</v>
      </c>
      <c r="B106" t="s">
        <v>423</v>
      </c>
      <c r="G106">
        <f t="array" ref="G106">SUMPRODUCT(--(Sheet1!$D$19:$D$27="POLS 166")+(Sheet1!$D$34:$D$42="POLS 166")+(Sheet1!$D$54:$D$62="POLS 166")+(Sheet1!$D$68:$D$76="POLS 166")+(Sheet1!$D$82:$D$90="POLS 166")+(Sheet1!$D$104:$D$112="POLS 166")+(Sheet1!$D$118:$D$126="POLS 166")+(Sheet1!$D$132:$D$140="POLS 166")+(Sheet1!$D$154:$D$162="POLS 166")+(Sheet1!$D$168:$D$176="POLS 166")+(Sheet1!$D$183:$D$191="POLS 166"))</f>
        <v>0</v>
      </c>
    </row>
  </sheetData>
  <pageMargins left="0.7" right="0.7" top="0.75" bottom="0.75" header="0.3" footer="0.3"/>
  <pageSetup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64" id="{02FD75F6-6C74-4B8B-8FEC-AAC2E781D431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G14:G23</xm:sqref>
        </x14:conditionalFormatting>
        <x14:conditionalFormatting xmlns:xm="http://schemas.microsoft.com/office/excel/2006/main">
          <x14:cfRule type="iconSet" priority="63" id="{AB53BA88-C832-4282-BFB6-DFFE29C7A81D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G27</xm:sqref>
        </x14:conditionalFormatting>
        <x14:conditionalFormatting xmlns:xm="http://schemas.microsoft.com/office/excel/2006/main">
          <x14:cfRule type="iconSet" priority="62" id="{0DCF075B-1782-4572-8D69-2FB5ACD68937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G28</xm:sqref>
        </x14:conditionalFormatting>
        <x14:conditionalFormatting xmlns:xm="http://schemas.microsoft.com/office/excel/2006/main">
          <x14:cfRule type="iconSet" priority="61" id="{6E7BBFE1-1327-4CB4-90A5-4840DB3613D7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G29</xm:sqref>
        </x14:conditionalFormatting>
        <x14:conditionalFormatting xmlns:xm="http://schemas.microsoft.com/office/excel/2006/main">
          <x14:cfRule type="iconSet" priority="60" id="{AE92ED87-B98A-4988-8B38-C2DED9771758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G30</xm:sqref>
        </x14:conditionalFormatting>
        <x14:conditionalFormatting xmlns:xm="http://schemas.microsoft.com/office/excel/2006/main">
          <x14:cfRule type="iconSet" priority="59" id="{6BDC1CCA-16A9-4390-9B07-308BF599F5EC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G31</xm:sqref>
        </x14:conditionalFormatting>
        <x14:conditionalFormatting xmlns:xm="http://schemas.microsoft.com/office/excel/2006/main">
          <x14:cfRule type="iconSet" priority="58" id="{1EC91D05-90B0-4C74-BBA3-9A02340AF4AD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G32</xm:sqref>
        </x14:conditionalFormatting>
        <x14:conditionalFormatting xmlns:xm="http://schemas.microsoft.com/office/excel/2006/main">
          <x14:cfRule type="iconSet" priority="57" id="{B043632D-4091-42B8-B91B-C79D5636A200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G33</xm:sqref>
        </x14:conditionalFormatting>
        <x14:conditionalFormatting xmlns:xm="http://schemas.microsoft.com/office/excel/2006/main">
          <x14:cfRule type="iconSet" priority="56" id="{818718AA-43B6-46B5-9977-36AF9D148DCC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G34</xm:sqref>
        </x14:conditionalFormatting>
        <x14:conditionalFormatting xmlns:xm="http://schemas.microsoft.com/office/excel/2006/main">
          <x14:cfRule type="iconSet" priority="55" id="{9B0152B8-36FC-4D61-B449-4913852B7C63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G35</xm:sqref>
        </x14:conditionalFormatting>
        <x14:conditionalFormatting xmlns:xm="http://schemas.microsoft.com/office/excel/2006/main">
          <x14:cfRule type="iconSet" priority="54" id="{C072C6C2-9C44-4300-AB95-C8C25ED4136B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G36</xm:sqref>
        </x14:conditionalFormatting>
        <x14:conditionalFormatting xmlns:xm="http://schemas.microsoft.com/office/excel/2006/main">
          <x14:cfRule type="iconSet" priority="51" id="{96B8E0A4-5959-4949-838A-ED9E633F287B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G42</xm:sqref>
        </x14:conditionalFormatting>
        <x14:conditionalFormatting xmlns:xm="http://schemas.microsoft.com/office/excel/2006/main">
          <x14:cfRule type="iconSet" priority="50" id="{0BC3EA75-781A-4A0D-AD60-4EB5A1EF5C64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G43</xm:sqref>
        </x14:conditionalFormatting>
        <x14:conditionalFormatting xmlns:xm="http://schemas.microsoft.com/office/excel/2006/main">
          <x14:cfRule type="iconSet" priority="49" id="{91B72ABE-EE13-4427-9643-B340450B8C2E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G44</xm:sqref>
        </x14:conditionalFormatting>
        <x14:conditionalFormatting xmlns:xm="http://schemas.microsoft.com/office/excel/2006/main">
          <x14:cfRule type="iconSet" priority="48" id="{1AF5829C-7241-4798-B20E-7C9D69E5B3E0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G45</xm:sqref>
        </x14:conditionalFormatting>
        <x14:conditionalFormatting xmlns:xm="http://schemas.microsoft.com/office/excel/2006/main">
          <x14:cfRule type="iconSet" priority="47" id="{D33D3853-5187-4DAB-87B1-8A08BA57150D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G46</xm:sqref>
        </x14:conditionalFormatting>
        <x14:conditionalFormatting xmlns:xm="http://schemas.microsoft.com/office/excel/2006/main">
          <x14:cfRule type="iconSet" priority="46" id="{C6F8B373-F6A9-46D5-93F3-02783D1739D1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G47</xm:sqref>
        </x14:conditionalFormatting>
        <x14:conditionalFormatting xmlns:xm="http://schemas.microsoft.com/office/excel/2006/main">
          <x14:cfRule type="iconSet" priority="45" id="{2303099E-8288-4975-99A3-0E2C6C2333A0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G48</xm:sqref>
        </x14:conditionalFormatting>
        <x14:conditionalFormatting xmlns:xm="http://schemas.microsoft.com/office/excel/2006/main">
          <x14:cfRule type="iconSet" priority="43" id="{ED465E68-B5ED-4542-AF92-FC42F3F3F197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G53</xm:sqref>
        </x14:conditionalFormatting>
        <x14:conditionalFormatting xmlns:xm="http://schemas.microsoft.com/office/excel/2006/main">
          <x14:cfRule type="iconSet" priority="42" id="{9A352E75-FB38-431B-964F-7D13255BC471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G54</xm:sqref>
        </x14:conditionalFormatting>
        <x14:conditionalFormatting xmlns:xm="http://schemas.microsoft.com/office/excel/2006/main">
          <x14:cfRule type="iconSet" priority="41" id="{4550F6F4-BB4B-404C-BCD7-2C11543682D7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G55</xm:sqref>
        </x14:conditionalFormatting>
        <x14:conditionalFormatting xmlns:xm="http://schemas.microsoft.com/office/excel/2006/main">
          <x14:cfRule type="iconSet" priority="38" id="{7F01F084-7C72-47CE-B439-5D767A6D81DC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G58</xm:sqref>
        </x14:conditionalFormatting>
        <x14:conditionalFormatting xmlns:xm="http://schemas.microsoft.com/office/excel/2006/main">
          <x14:cfRule type="iconSet" priority="37" id="{FEC4C72D-B95C-41C6-B4DF-C2635EC15E9B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G59</xm:sqref>
        </x14:conditionalFormatting>
        <x14:conditionalFormatting xmlns:xm="http://schemas.microsoft.com/office/excel/2006/main">
          <x14:cfRule type="iconSet" priority="36" id="{D577D2E6-3394-4254-AF10-B1D2B35B14B1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G60</xm:sqref>
        </x14:conditionalFormatting>
        <x14:conditionalFormatting xmlns:xm="http://schemas.microsoft.com/office/excel/2006/main">
          <x14:cfRule type="iconSet" priority="34" id="{68B7690D-4C34-4D5D-9F18-2D09E88D6D9C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G66</xm:sqref>
        </x14:conditionalFormatting>
        <x14:conditionalFormatting xmlns:xm="http://schemas.microsoft.com/office/excel/2006/main">
          <x14:cfRule type="iconSet" priority="33" id="{8D776FBC-B9B2-4754-A19A-599E857DF720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G67</xm:sqref>
        </x14:conditionalFormatting>
        <x14:conditionalFormatting xmlns:xm="http://schemas.microsoft.com/office/excel/2006/main">
          <x14:cfRule type="iconSet" priority="32" id="{EE4BEDC2-970C-4D1A-90F7-2855C2651454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G68</xm:sqref>
        </x14:conditionalFormatting>
        <x14:conditionalFormatting xmlns:xm="http://schemas.microsoft.com/office/excel/2006/main">
          <x14:cfRule type="iconSet" priority="29" id="{F6DF16E7-7005-489E-BC64-82A590A9B024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G71</xm:sqref>
        </x14:conditionalFormatting>
        <x14:conditionalFormatting xmlns:xm="http://schemas.microsoft.com/office/excel/2006/main">
          <x14:cfRule type="iconSet" priority="27" id="{2C1B4EBB-77DA-4D2F-BE14-A4E27A12068C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G79</xm:sqref>
        </x14:conditionalFormatting>
        <x14:conditionalFormatting xmlns:xm="http://schemas.microsoft.com/office/excel/2006/main">
          <x14:cfRule type="iconSet" priority="25" id="{107D37B7-0464-4D62-A6F2-5026EFAAD274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G81</xm:sqref>
        </x14:conditionalFormatting>
        <x14:conditionalFormatting xmlns:xm="http://schemas.microsoft.com/office/excel/2006/main">
          <x14:cfRule type="iconSet" priority="24" id="{39D591C6-51B7-46B8-A950-F0923E97F001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G82</xm:sqref>
        </x14:conditionalFormatting>
        <x14:conditionalFormatting xmlns:xm="http://schemas.microsoft.com/office/excel/2006/main">
          <x14:cfRule type="iconSet" priority="23" id="{E626D4C4-AE87-4F97-B5E8-CA9F4FD4FF27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G83</xm:sqref>
        </x14:conditionalFormatting>
        <x14:conditionalFormatting xmlns:xm="http://schemas.microsoft.com/office/excel/2006/main">
          <x14:cfRule type="iconSet" priority="22" id="{EB92D540-68B1-437D-843D-E4FE7CA26460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G84</xm:sqref>
        </x14:conditionalFormatting>
        <x14:conditionalFormatting xmlns:xm="http://schemas.microsoft.com/office/excel/2006/main">
          <x14:cfRule type="iconSet" priority="21" id="{530B8077-B52B-4B95-B869-789D8696F530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G85</xm:sqref>
        </x14:conditionalFormatting>
        <x14:conditionalFormatting xmlns:xm="http://schemas.microsoft.com/office/excel/2006/main">
          <x14:cfRule type="iconSet" priority="20" id="{AA42AEC9-4B8E-404D-A8F3-5639F052F956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G86</xm:sqref>
        </x14:conditionalFormatting>
        <x14:conditionalFormatting xmlns:xm="http://schemas.microsoft.com/office/excel/2006/main">
          <x14:cfRule type="iconSet" priority="19" id="{0A595664-7CA0-4E70-8495-8035B4AECEFE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G87</xm:sqref>
        </x14:conditionalFormatting>
        <x14:conditionalFormatting xmlns:xm="http://schemas.microsoft.com/office/excel/2006/main">
          <x14:cfRule type="iconSet" priority="18" id="{6E42E77E-F8D9-4A37-9CE0-2D1C76D24EE0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G88</xm:sqref>
        </x14:conditionalFormatting>
        <x14:conditionalFormatting xmlns:xm="http://schemas.microsoft.com/office/excel/2006/main">
          <x14:cfRule type="iconSet" priority="17" id="{28523CC1-73DB-4D63-99BD-2C7CCA713532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6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G89</xm:sqref>
        </x14:conditionalFormatting>
        <x14:conditionalFormatting xmlns:xm="http://schemas.microsoft.com/office/excel/2006/main">
          <x14:cfRule type="iconSet" priority="15" id="{F999B7F1-AA35-403D-AFD5-9520F9E7D4D8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G104</xm:sqref>
        </x14:conditionalFormatting>
        <x14:conditionalFormatting xmlns:xm="http://schemas.microsoft.com/office/excel/2006/main">
          <x14:cfRule type="iconSet" priority="14" id="{5F7613CE-8B4C-446C-9730-4FBD95946062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G105</xm:sqref>
        </x14:conditionalFormatting>
        <x14:conditionalFormatting xmlns:xm="http://schemas.microsoft.com/office/excel/2006/main">
          <x14:cfRule type="iconSet" priority="13" id="{661EDC03-E987-41AF-935C-A3F91C4EBD24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G106</xm:sqref>
        </x14:conditionalFormatting>
        <x14:conditionalFormatting xmlns:xm="http://schemas.microsoft.com/office/excel/2006/main">
          <x14:cfRule type="iconSet" priority="12" id="{BF125B03-67ED-4219-9865-36F5A4082FDD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G37</xm:sqref>
        </x14:conditionalFormatting>
        <x14:conditionalFormatting xmlns:xm="http://schemas.microsoft.com/office/excel/2006/main">
          <x14:cfRule type="iconSet" priority="11" id="{A4794A55-5E87-4E18-AE01-520D4F0414CE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G38</xm:sqref>
        </x14:conditionalFormatting>
        <x14:conditionalFormatting xmlns:xm="http://schemas.microsoft.com/office/excel/2006/main">
          <x14:cfRule type="iconSet" priority="10" id="{D5F09111-BBA0-4F3A-BBC1-BD63D45D5162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G52</xm:sqref>
        </x14:conditionalFormatting>
        <x14:conditionalFormatting xmlns:xm="http://schemas.microsoft.com/office/excel/2006/main">
          <x14:cfRule type="iconSet" priority="9" id="{05C8D0B1-B924-4B63-9993-6A40304211E7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G56</xm:sqref>
        </x14:conditionalFormatting>
        <x14:conditionalFormatting xmlns:xm="http://schemas.microsoft.com/office/excel/2006/main">
          <x14:cfRule type="iconSet" priority="8" id="{A95CB7B9-1399-40A8-8F5F-243480C1D7E5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G57</xm:sqref>
        </x14:conditionalFormatting>
        <x14:conditionalFormatting xmlns:xm="http://schemas.microsoft.com/office/excel/2006/main">
          <x14:cfRule type="iconSet" priority="7" id="{BEC5D03C-8B50-44A9-A994-147811ABEC81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G65</xm:sqref>
        </x14:conditionalFormatting>
        <x14:conditionalFormatting xmlns:xm="http://schemas.microsoft.com/office/excel/2006/main">
          <x14:cfRule type="iconSet" priority="6" id="{5D98D7EC-E766-4180-8B92-70F42E89B86E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G69</xm:sqref>
        </x14:conditionalFormatting>
        <x14:conditionalFormatting xmlns:xm="http://schemas.microsoft.com/office/excel/2006/main">
          <x14:cfRule type="iconSet" priority="5" id="{2F48F165-E758-4A39-9CAF-F61A34024D71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G70</xm:sqref>
        </x14:conditionalFormatting>
        <x14:conditionalFormatting xmlns:xm="http://schemas.microsoft.com/office/excel/2006/main">
          <x14:cfRule type="iconSet" priority="4" id="{A21A9D61-9B97-4765-8A0D-CAB71C613C7E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G78</xm:sqref>
        </x14:conditionalFormatting>
        <x14:conditionalFormatting xmlns:xm="http://schemas.microsoft.com/office/excel/2006/main">
          <x14:cfRule type="iconSet" priority="3" id="{EF4A772C-B00D-47DA-BC52-A46298E89B2C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G80</xm:sqref>
        </x14:conditionalFormatting>
        <x14:conditionalFormatting xmlns:xm="http://schemas.microsoft.com/office/excel/2006/main">
          <x14:cfRule type="iconSet" priority="2" id="{CDDCE6CA-EC5B-4841-84B5-9C65FE7FA948}">
            <x14:iconSet iconSet="3Symbols2" showValue="0" custom="1">
              <x14:cfvo type="percent">
                <xm:f>0</xm:f>
              </x14:cfvo>
              <x14:cfvo type="percent">
                <xm:f>0</xm:f>
              </x14:cfvo>
              <x14:cfvo type="num">
                <xm:f>1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G103</xm:sqref>
        </x14:conditionalFormatting>
        <x14:conditionalFormatting xmlns:xm="http://schemas.microsoft.com/office/excel/2006/main">
          <x14:cfRule type="iconSet" priority="1" id="{D82C6ABF-1A07-4CCC-B8E5-B7D82E03837A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6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G72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 enableFormatConditionsCalculation="0"/>
  <dimension ref="A1:E44"/>
  <sheetViews>
    <sheetView workbookViewId="0">
      <selection activeCell="E2" sqref="E2:E7"/>
    </sheetView>
  </sheetViews>
  <sheetFormatPr baseColWidth="10" defaultColWidth="8.83203125" defaultRowHeight="15" x14ac:dyDescent="0.2"/>
  <cols>
    <col min="1" max="1" width="28.6640625" bestFit="1" customWidth="1"/>
  </cols>
  <sheetData>
    <row r="1" spans="1:5" x14ac:dyDescent="0.2">
      <c r="A1" s="2" t="s">
        <v>194</v>
      </c>
      <c r="E1" t="s">
        <v>1369</v>
      </c>
    </row>
    <row r="2" spans="1:5" x14ac:dyDescent="0.2">
      <c r="A2" s="2" t="s">
        <v>16</v>
      </c>
      <c r="B2" t="s">
        <v>97</v>
      </c>
      <c r="E2" t="s">
        <v>336</v>
      </c>
    </row>
    <row r="3" spans="1:5" x14ac:dyDescent="0.2">
      <c r="A3" s="2" t="s">
        <v>17</v>
      </c>
      <c r="B3" t="s">
        <v>138</v>
      </c>
      <c r="E3" t="s">
        <v>1370</v>
      </c>
    </row>
    <row r="4" spans="1:5" x14ac:dyDescent="0.2">
      <c r="A4" s="2" t="s">
        <v>1330</v>
      </c>
      <c r="B4" t="s">
        <v>1337</v>
      </c>
      <c r="E4" t="s">
        <v>1371</v>
      </c>
    </row>
    <row r="5" spans="1:5" x14ac:dyDescent="0.2">
      <c r="A5" s="2" t="s">
        <v>19</v>
      </c>
      <c r="B5" t="s">
        <v>98</v>
      </c>
      <c r="E5" t="s">
        <v>410</v>
      </c>
    </row>
    <row r="6" spans="1:5" x14ac:dyDescent="0.2">
      <c r="A6" s="2" t="s">
        <v>20</v>
      </c>
      <c r="B6" t="s">
        <v>111</v>
      </c>
      <c r="E6" t="s">
        <v>624</v>
      </c>
    </row>
    <row r="7" spans="1:5" x14ac:dyDescent="0.2">
      <c r="A7" s="2" t="s">
        <v>21</v>
      </c>
      <c r="B7" t="s">
        <v>99</v>
      </c>
      <c r="E7" t="s">
        <v>1161</v>
      </c>
    </row>
    <row r="8" spans="1:5" x14ac:dyDescent="0.2">
      <c r="A8" s="2" t="s">
        <v>22</v>
      </c>
      <c r="B8" t="s">
        <v>112</v>
      </c>
    </row>
    <row r="9" spans="1:5" x14ac:dyDescent="0.2">
      <c r="A9" s="2" t="s">
        <v>23</v>
      </c>
      <c r="B9" t="s">
        <v>113</v>
      </c>
    </row>
    <row r="10" spans="1:5" x14ac:dyDescent="0.2">
      <c r="A10" s="2" t="s">
        <v>25</v>
      </c>
      <c r="B10" t="s">
        <v>100</v>
      </c>
    </row>
    <row r="11" spans="1:5" x14ac:dyDescent="0.2">
      <c r="A11" s="2" t="s">
        <v>26</v>
      </c>
      <c r="B11" t="s">
        <v>101</v>
      </c>
    </row>
    <row r="12" spans="1:5" x14ac:dyDescent="0.2">
      <c r="A12" s="2" t="s">
        <v>27</v>
      </c>
      <c r="B12" t="s">
        <v>139</v>
      </c>
    </row>
    <row r="13" spans="1:5" x14ac:dyDescent="0.2">
      <c r="A13" s="2" t="s">
        <v>33</v>
      </c>
      <c r="B13" t="s">
        <v>115</v>
      </c>
    </row>
    <row r="14" spans="1:5" x14ac:dyDescent="0.2">
      <c r="A14" s="2" t="s">
        <v>34</v>
      </c>
      <c r="B14" t="s">
        <v>94</v>
      </c>
    </row>
    <row r="15" spans="1:5" x14ac:dyDescent="0.2">
      <c r="A15" s="2" t="s">
        <v>35</v>
      </c>
      <c r="B15" t="s">
        <v>116</v>
      </c>
    </row>
    <row r="16" spans="1:5" x14ac:dyDescent="0.2">
      <c r="A16" s="2" t="s">
        <v>37</v>
      </c>
      <c r="B16" t="s">
        <v>120</v>
      </c>
    </row>
    <row r="17" spans="1:2" x14ac:dyDescent="0.2">
      <c r="A17" s="2" t="s">
        <v>38</v>
      </c>
      <c r="B17" t="s">
        <v>105</v>
      </c>
    </row>
    <row r="18" spans="1:2" x14ac:dyDescent="0.2">
      <c r="A18" s="2" t="s">
        <v>1331</v>
      </c>
      <c r="B18" t="s">
        <v>1338</v>
      </c>
    </row>
    <row r="19" spans="1:2" x14ac:dyDescent="0.2">
      <c r="A19" s="2" t="s">
        <v>40</v>
      </c>
      <c r="B19" t="s">
        <v>107</v>
      </c>
    </row>
    <row r="20" spans="1:2" x14ac:dyDescent="0.2">
      <c r="A20" s="2" t="s">
        <v>42</v>
      </c>
      <c r="B20" t="s">
        <v>143</v>
      </c>
    </row>
    <row r="21" spans="1:2" x14ac:dyDescent="0.2">
      <c r="A21" s="2" t="s">
        <v>1332</v>
      </c>
      <c r="B21" t="s">
        <v>108</v>
      </c>
    </row>
    <row r="22" spans="1:2" x14ac:dyDescent="0.2">
      <c r="A22" s="2" t="s">
        <v>44</v>
      </c>
      <c r="B22" t="s">
        <v>122</v>
      </c>
    </row>
    <row r="23" spans="1:2" x14ac:dyDescent="0.2">
      <c r="A23" s="2" t="s">
        <v>47</v>
      </c>
      <c r="B23" t="s">
        <v>144</v>
      </c>
    </row>
    <row r="24" spans="1:2" x14ac:dyDescent="0.2">
      <c r="A24" s="2" t="s">
        <v>48</v>
      </c>
      <c r="B24" t="s">
        <v>124</v>
      </c>
    </row>
    <row r="25" spans="1:2" x14ac:dyDescent="0.2">
      <c r="A25" s="2" t="s">
        <v>50</v>
      </c>
      <c r="B25" t="s">
        <v>121</v>
      </c>
    </row>
    <row r="26" spans="1:2" x14ac:dyDescent="0.2">
      <c r="A26" s="2" t="s">
        <v>51</v>
      </c>
      <c r="B26" t="s">
        <v>109</v>
      </c>
    </row>
    <row r="27" spans="1:2" x14ac:dyDescent="0.2">
      <c r="A27" s="2" t="s">
        <v>52</v>
      </c>
      <c r="B27" t="s">
        <v>110</v>
      </c>
    </row>
    <row r="28" spans="1:2" x14ac:dyDescent="0.2">
      <c r="A28" s="2" t="s">
        <v>60</v>
      </c>
      <c r="B28" t="s">
        <v>130</v>
      </c>
    </row>
    <row r="29" spans="1:2" x14ac:dyDescent="0.2">
      <c r="A29" s="2" t="s">
        <v>1333</v>
      </c>
      <c r="B29" t="s">
        <v>1339</v>
      </c>
    </row>
    <row r="30" spans="1:2" x14ac:dyDescent="0.2">
      <c r="A30" s="2" t="s">
        <v>61</v>
      </c>
      <c r="B30" t="s">
        <v>131</v>
      </c>
    </row>
    <row r="31" spans="1:2" x14ac:dyDescent="0.2">
      <c r="A31" s="2" t="s">
        <v>62</v>
      </c>
      <c r="B31" t="s">
        <v>150</v>
      </c>
    </row>
    <row r="32" spans="1:2" x14ac:dyDescent="0.2">
      <c r="A32" s="2" t="s">
        <v>65</v>
      </c>
      <c r="B32" t="s">
        <v>86</v>
      </c>
    </row>
    <row r="33" spans="1:2" x14ac:dyDescent="0.2">
      <c r="A33" s="2" t="s">
        <v>66</v>
      </c>
      <c r="B33" t="s">
        <v>132</v>
      </c>
    </row>
    <row r="34" spans="1:2" x14ac:dyDescent="0.2">
      <c r="A34" s="2" t="s">
        <v>67</v>
      </c>
      <c r="B34" t="s">
        <v>133</v>
      </c>
    </row>
    <row r="35" spans="1:2" x14ac:dyDescent="0.2">
      <c r="A35" s="2" t="s">
        <v>68</v>
      </c>
      <c r="B35" t="s">
        <v>134</v>
      </c>
    </row>
    <row r="36" spans="1:2" x14ac:dyDescent="0.2">
      <c r="A36" s="2" t="s">
        <v>70</v>
      </c>
      <c r="B36" t="s">
        <v>135</v>
      </c>
    </row>
    <row r="37" spans="1:2" x14ac:dyDescent="0.2">
      <c r="A37" s="2" t="s">
        <v>71</v>
      </c>
      <c r="B37" t="s">
        <v>152</v>
      </c>
    </row>
    <row r="38" spans="1:2" x14ac:dyDescent="0.2">
      <c r="A38" s="2" t="s">
        <v>73</v>
      </c>
      <c r="B38" t="s">
        <v>148</v>
      </c>
    </row>
    <row r="39" spans="1:2" x14ac:dyDescent="0.2">
      <c r="A39" s="2" t="s">
        <v>1334</v>
      </c>
      <c r="B39" t="s">
        <v>136</v>
      </c>
    </row>
    <row r="40" spans="1:2" x14ac:dyDescent="0.2">
      <c r="A40" s="2" t="s">
        <v>75</v>
      </c>
      <c r="B40" t="s">
        <v>88</v>
      </c>
    </row>
    <row r="41" spans="1:2" x14ac:dyDescent="0.2">
      <c r="A41" s="2" t="s">
        <v>1335</v>
      </c>
      <c r="B41" t="s">
        <v>1340</v>
      </c>
    </row>
    <row r="42" spans="1:2" x14ac:dyDescent="0.2">
      <c r="A42" s="2" t="s">
        <v>79</v>
      </c>
      <c r="B42" t="s">
        <v>91</v>
      </c>
    </row>
    <row r="43" spans="1:2" x14ac:dyDescent="0.2">
      <c r="A43" s="2" t="s">
        <v>80</v>
      </c>
      <c r="B43" t="s">
        <v>149</v>
      </c>
    </row>
    <row r="44" spans="1:2" x14ac:dyDescent="0.2">
      <c r="A44" s="2" t="s">
        <v>1336</v>
      </c>
      <c r="B44" t="s">
        <v>137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/>
  <dimension ref="A1:L674"/>
  <sheetViews>
    <sheetView workbookViewId="0">
      <selection activeCell="E375" sqref="E375"/>
    </sheetView>
  </sheetViews>
  <sheetFormatPr baseColWidth="10" defaultColWidth="8.83203125" defaultRowHeight="15" x14ac:dyDescent="0.2"/>
  <cols>
    <col min="1" max="1" width="32.5" bestFit="1" customWidth="1"/>
  </cols>
  <sheetData>
    <row r="1" spans="1:12" x14ac:dyDescent="0.2">
      <c r="A1" t="s">
        <v>14</v>
      </c>
      <c r="B1" t="s">
        <v>93</v>
      </c>
      <c r="E1" t="s">
        <v>1367</v>
      </c>
      <c r="H1" t="s">
        <v>196</v>
      </c>
      <c r="J1" t="s">
        <v>197</v>
      </c>
      <c r="L1" t="s">
        <v>201</v>
      </c>
    </row>
    <row r="2" spans="1:12" x14ac:dyDescent="0.2">
      <c r="A2" t="s">
        <v>15</v>
      </c>
      <c r="B2" t="s">
        <v>95</v>
      </c>
      <c r="E2" s="1">
        <v>1</v>
      </c>
      <c r="H2" t="s">
        <v>178</v>
      </c>
      <c r="J2">
        <v>0.5</v>
      </c>
      <c r="L2" t="s">
        <v>202</v>
      </c>
    </row>
    <row r="3" spans="1:12" x14ac:dyDescent="0.2">
      <c r="A3" t="s">
        <v>16</v>
      </c>
      <c r="B3" t="s">
        <v>97</v>
      </c>
      <c r="E3" s="1">
        <v>2</v>
      </c>
      <c r="H3" t="s">
        <v>179</v>
      </c>
      <c r="J3">
        <v>1</v>
      </c>
      <c r="L3" t="s">
        <v>203</v>
      </c>
    </row>
    <row r="4" spans="1:12" x14ac:dyDescent="0.2">
      <c r="A4" t="s">
        <v>17</v>
      </c>
      <c r="B4" t="s">
        <v>138</v>
      </c>
      <c r="E4" s="1">
        <v>3</v>
      </c>
      <c r="H4" t="s">
        <v>180</v>
      </c>
      <c r="J4">
        <v>2</v>
      </c>
      <c r="L4" t="s">
        <v>204</v>
      </c>
    </row>
    <row r="5" spans="1:12" x14ac:dyDescent="0.2">
      <c r="A5" t="s">
        <v>19</v>
      </c>
      <c r="B5" t="s">
        <v>98</v>
      </c>
      <c r="E5" s="1">
        <v>4</v>
      </c>
      <c r="H5" t="s">
        <v>181</v>
      </c>
      <c r="J5">
        <v>3</v>
      </c>
      <c r="L5" t="s">
        <v>205</v>
      </c>
    </row>
    <row r="6" spans="1:12" x14ac:dyDescent="0.2">
      <c r="A6" t="s">
        <v>20</v>
      </c>
      <c r="B6" t="s">
        <v>111</v>
      </c>
      <c r="E6" s="1">
        <v>5</v>
      </c>
      <c r="H6" t="s">
        <v>182</v>
      </c>
      <c r="J6">
        <v>4</v>
      </c>
      <c r="L6" t="s">
        <v>206</v>
      </c>
    </row>
    <row r="7" spans="1:12" x14ac:dyDescent="0.2">
      <c r="A7" t="s">
        <v>21</v>
      </c>
      <c r="B7" t="s">
        <v>99</v>
      </c>
      <c r="E7" s="1">
        <v>6</v>
      </c>
      <c r="H7" t="s">
        <v>214</v>
      </c>
      <c r="J7">
        <v>5</v>
      </c>
      <c r="L7" t="s">
        <v>207</v>
      </c>
    </row>
    <row r="8" spans="1:12" x14ac:dyDescent="0.2">
      <c r="A8" t="s">
        <v>22</v>
      </c>
      <c r="B8" t="s">
        <v>112</v>
      </c>
      <c r="E8" s="1">
        <v>7</v>
      </c>
      <c r="H8" t="s">
        <v>215</v>
      </c>
      <c r="J8">
        <v>6</v>
      </c>
      <c r="L8" t="s">
        <v>208</v>
      </c>
    </row>
    <row r="9" spans="1:12" x14ac:dyDescent="0.2">
      <c r="A9" t="s">
        <v>23</v>
      </c>
      <c r="B9" t="s">
        <v>113</v>
      </c>
      <c r="E9" s="1">
        <v>8</v>
      </c>
      <c r="H9" t="s">
        <v>183</v>
      </c>
      <c r="L9" t="s">
        <v>209</v>
      </c>
    </row>
    <row r="10" spans="1:12" x14ac:dyDescent="0.2">
      <c r="A10" t="s">
        <v>24</v>
      </c>
      <c r="B10" t="s">
        <v>114</v>
      </c>
      <c r="E10" s="1">
        <v>9</v>
      </c>
      <c r="H10" t="s">
        <v>184</v>
      </c>
      <c r="L10" t="s">
        <v>210</v>
      </c>
    </row>
    <row r="11" spans="1:12" x14ac:dyDescent="0.2">
      <c r="A11" t="s">
        <v>1365</v>
      </c>
      <c r="B11" t="s">
        <v>1366</v>
      </c>
      <c r="E11" s="1">
        <v>10</v>
      </c>
      <c r="H11" t="s">
        <v>185</v>
      </c>
      <c r="L11" t="s">
        <v>211</v>
      </c>
    </row>
    <row r="12" spans="1:12" x14ac:dyDescent="0.2">
      <c r="A12" t="s">
        <v>25</v>
      </c>
      <c r="B12" t="s">
        <v>100</v>
      </c>
      <c r="E12" s="1">
        <v>11</v>
      </c>
      <c r="H12" t="s">
        <v>1292</v>
      </c>
      <c r="L12" t="s">
        <v>212</v>
      </c>
    </row>
    <row r="13" spans="1:12" x14ac:dyDescent="0.2">
      <c r="A13" t="s">
        <v>26</v>
      </c>
      <c r="B13" t="s">
        <v>101</v>
      </c>
      <c r="E13" s="1">
        <v>12</v>
      </c>
      <c r="H13" t="s">
        <v>186</v>
      </c>
      <c r="L13" t="s">
        <v>213</v>
      </c>
    </row>
    <row r="14" spans="1:12" x14ac:dyDescent="0.2">
      <c r="A14" t="s">
        <v>27</v>
      </c>
      <c r="B14" t="s">
        <v>139</v>
      </c>
      <c r="E14" s="1">
        <v>13</v>
      </c>
      <c r="H14" t="s">
        <v>187</v>
      </c>
    </row>
    <row r="15" spans="1:12" x14ac:dyDescent="0.2">
      <c r="A15" t="s">
        <v>28</v>
      </c>
      <c r="B15" t="s">
        <v>102</v>
      </c>
      <c r="E15" s="1">
        <v>14</v>
      </c>
      <c r="H15" t="s">
        <v>188</v>
      </c>
    </row>
    <row r="16" spans="1:12" x14ac:dyDescent="0.2">
      <c r="A16" t="s">
        <v>29</v>
      </c>
      <c r="B16" t="s">
        <v>140</v>
      </c>
      <c r="E16" s="1">
        <v>15</v>
      </c>
      <c r="H16" t="s">
        <v>189</v>
      </c>
    </row>
    <row r="17" spans="1:8" x14ac:dyDescent="0.2">
      <c r="A17" t="s">
        <v>30</v>
      </c>
      <c r="B17" t="s">
        <v>103</v>
      </c>
      <c r="E17" s="1">
        <v>16</v>
      </c>
      <c r="H17" t="s">
        <v>190</v>
      </c>
    </row>
    <row r="18" spans="1:8" x14ac:dyDescent="0.2">
      <c r="A18" t="s">
        <v>31</v>
      </c>
      <c r="B18" t="s">
        <v>104</v>
      </c>
      <c r="E18" s="1">
        <v>17</v>
      </c>
      <c r="H18" t="s">
        <v>191</v>
      </c>
    </row>
    <row r="19" spans="1:8" x14ac:dyDescent="0.2">
      <c r="A19" t="s">
        <v>32</v>
      </c>
      <c r="B19" t="s">
        <v>141</v>
      </c>
      <c r="E19" s="1">
        <v>18</v>
      </c>
      <c r="H19" t="s">
        <v>192</v>
      </c>
    </row>
    <row r="20" spans="1:8" x14ac:dyDescent="0.2">
      <c r="A20" t="s">
        <v>33</v>
      </c>
      <c r="B20" t="s">
        <v>115</v>
      </c>
      <c r="E20" s="1">
        <v>19</v>
      </c>
      <c r="H20" t="s">
        <v>193</v>
      </c>
    </row>
    <row r="21" spans="1:8" x14ac:dyDescent="0.2">
      <c r="A21" t="s">
        <v>34</v>
      </c>
      <c r="B21" t="s">
        <v>94</v>
      </c>
      <c r="E21" s="1">
        <v>20</v>
      </c>
      <c r="H21" t="s">
        <v>194</v>
      </c>
    </row>
    <row r="22" spans="1:8" x14ac:dyDescent="0.2">
      <c r="A22" t="s">
        <v>35</v>
      </c>
      <c r="B22" t="s">
        <v>116</v>
      </c>
      <c r="C22" t="s">
        <v>117</v>
      </c>
      <c r="D22" t="s">
        <v>96</v>
      </c>
      <c r="E22" s="1">
        <v>21</v>
      </c>
      <c r="H22" t="s">
        <v>195</v>
      </c>
    </row>
    <row r="23" spans="1:8" x14ac:dyDescent="0.2">
      <c r="A23" t="s">
        <v>36</v>
      </c>
      <c r="B23" t="s">
        <v>118</v>
      </c>
      <c r="E23" s="1">
        <v>22</v>
      </c>
    </row>
    <row r="24" spans="1:8" x14ac:dyDescent="0.2">
      <c r="A24" t="s">
        <v>37</v>
      </c>
      <c r="B24" t="s">
        <v>120</v>
      </c>
      <c r="E24" s="1">
        <v>23</v>
      </c>
    </row>
    <row r="25" spans="1:8" x14ac:dyDescent="0.2">
      <c r="A25" t="s">
        <v>38</v>
      </c>
      <c r="B25" t="s">
        <v>105</v>
      </c>
      <c r="E25" s="1">
        <v>24</v>
      </c>
    </row>
    <row r="26" spans="1:8" x14ac:dyDescent="0.2">
      <c r="A26" t="s">
        <v>39</v>
      </c>
      <c r="B26" t="s">
        <v>106</v>
      </c>
      <c r="E26" s="1">
        <v>25</v>
      </c>
    </row>
    <row r="27" spans="1:8" x14ac:dyDescent="0.2">
      <c r="A27" t="s">
        <v>40</v>
      </c>
      <c r="B27" t="s">
        <v>107</v>
      </c>
      <c r="E27" s="1">
        <v>26</v>
      </c>
    </row>
    <row r="28" spans="1:8" x14ac:dyDescent="0.2">
      <c r="A28" t="s">
        <v>41</v>
      </c>
      <c r="B28" t="s">
        <v>142</v>
      </c>
      <c r="E28" s="1">
        <v>27</v>
      </c>
    </row>
    <row r="29" spans="1:8" x14ac:dyDescent="0.2">
      <c r="A29" t="s">
        <v>42</v>
      </c>
      <c r="B29" t="s">
        <v>143</v>
      </c>
      <c r="E29" s="1">
        <v>28</v>
      </c>
    </row>
    <row r="30" spans="1:8" x14ac:dyDescent="0.2">
      <c r="A30" t="s">
        <v>43</v>
      </c>
      <c r="B30" t="s">
        <v>108</v>
      </c>
      <c r="E30" s="1">
        <v>29</v>
      </c>
    </row>
    <row r="31" spans="1:8" x14ac:dyDescent="0.2">
      <c r="A31" t="s">
        <v>44</v>
      </c>
      <c r="B31" t="s">
        <v>122</v>
      </c>
      <c r="E31" s="1">
        <v>30</v>
      </c>
    </row>
    <row r="32" spans="1:8" x14ac:dyDescent="0.2">
      <c r="A32" t="s">
        <v>45</v>
      </c>
      <c r="B32" t="s">
        <v>123</v>
      </c>
      <c r="E32" s="1">
        <v>31</v>
      </c>
    </row>
    <row r="33" spans="1:5" x14ac:dyDescent="0.2">
      <c r="A33" t="s">
        <v>46</v>
      </c>
      <c r="B33" t="s">
        <v>119</v>
      </c>
      <c r="E33" s="1">
        <v>32</v>
      </c>
    </row>
    <row r="34" spans="1:5" x14ac:dyDescent="0.2">
      <c r="A34" t="s">
        <v>47</v>
      </c>
      <c r="B34" t="s">
        <v>144</v>
      </c>
      <c r="E34" s="1">
        <v>33</v>
      </c>
    </row>
    <row r="35" spans="1:5" x14ac:dyDescent="0.2">
      <c r="A35" t="s">
        <v>48</v>
      </c>
      <c r="B35" t="s">
        <v>124</v>
      </c>
      <c r="E35" s="1">
        <v>34</v>
      </c>
    </row>
    <row r="36" spans="1:5" x14ac:dyDescent="0.2">
      <c r="A36" t="s">
        <v>49</v>
      </c>
      <c r="B36" t="s">
        <v>92</v>
      </c>
      <c r="E36" s="1">
        <v>35</v>
      </c>
    </row>
    <row r="37" spans="1:5" x14ac:dyDescent="0.2">
      <c r="A37" t="s">
        <v>50</v>
      </c>
      <c r="B37" t="s">
        <v>121</v>
      </c>
      <c r="E37" s="1">
        <v>36</v>
      </c>
    </row>
    <row r="38" spans="1:5" x14ac:dyDescent="0.2">
      <c r="A38" t="s">
        <v>51</v>
      </c>
      <c r="B38" t="s">
        <v>109</v>
      </c>
      <c r="E38" s="1">
        <v>37</v>
      </c>
    </row>
    <row r="39" spans="1:5" x14ac:dyDescent="0.2">
      <c r="A39" t="s">
        <v>52</v>
      </c>
      <c r="B39" t="s">
        <v>110</v>
      </c>
      <c r="E39" s="1">
        <v>38</v>
      </c>
    </row>
    <row r="40" spans="1:5" x14ac:dyDescent="0.2">
      <c r="A40" t="s">
        <v>53</v>
      </c>
      <c r="B40" t="s">
        <v>125</v>
      </c>
      <c r="E40" s="1">
        <v>39</v>
      </c>
    </row>
    <row r="41" spans="1:5" x14ac:dyDescent="0.2">
      <c r="A41" t="s">
        <v>54</v>
      </c>
      <c r="B41" t="s">
        <v>126</v>
      </c>
      <c r="E41" s="1">
        <v>40</v>
      </c>
    </row>
    <row r="42" spans="1:5" x14ac:dyDescent="0.2">
      <c r="A42" t="s">
        <v>55</v>
      </c>
      <c r="B42" t="s">
        <v>127</v>
      </c>
      <c r="E42" s="1">
        <v>41</v>
      </c>
    </row>
    <row r="43" spans="1:5" x14ac:dyDescent="0.2">
      <c r="A43" t="s">
        <v>56</v>
      </c>
      <c r="B43" t="s">
        <v>145</v>
      </c>
      <c r="E43" s="1">
        <v>42</v>
      </c>
    </row>
    <row r="44" spans="1:5" x14ac:dyDescent="0.2">
      <c r="A44" t="s">
        <v>57</v>
      </c>
      <c r="B44" t="s">
        <v>146</v>
      </c>
      <c r="E44" s="1">
        <v>43</v>
      </c>
    </row>
    <row r="45" spans="1:5" x14ac:dyDescent="0.2">
      <c r="A45" t="s">
        <v>58</v>
      </c>
      <c r="B45" t="s">
        <v>128</v>
      </c>
      <c r="E45" s="1">
        <v>44</v>
      </c>
    </row>
    <row r="46" spans="1:5" x14ac:dyDescent="0.2">
      <c r="A46" t="s">
        <v>59</v>
      </c>
      <c r="B46" t="s">
        <v>129</v>
      </c>
      <c r="E46" s="1">
        <v>45</v>
      </c>
    </row>
    <row r="47" spans="1:5" x14ac:dyDescent="0.2">
      <c r="A47" t="s">
        <v>60</v>
      </c>
      <c r="B47" t="s">
        <v>130</v>
      </c>
      <c r="E47" s="1">
        <v>46</v>
      </c>
    </row>
    <row r="48" spans="1:5" x14ac:dyDescent="0.2">
      <c r="A48" t="s">
        <v>61</v>
      </c>
      <c r="B48" t="s">
        <v>131</v>
      </c>
      <c r="E48" s="1">
        <v>47</v>
      </c>
    </row>
    <row r="49" spans="1:5" x14ac:dyDescent="0.2">
      <c r="A49" t="s">
        <v>62</v>
      </c>
      <c r="B49" t="s">
        <v>150</v>
      </c>
      <c r="E49" s="1">
        <v>48</v>
      </c>
    </row>
    <row r="50" spans="1:5" x14ac:dyDescent="0.2">
      <c r="A50" t="s">
        <v>63</v>
      </c>
      <c r="B50" t="s">
        <v>147</v>
      </c>
      <c r="E50" s="1">
        <v>49</v>
      </c>
    </row>
    <row r="51" spans="1:5" x14ac:dyDescent="0.2">
      <c r="A51" t="s">
        <v>64</v>
      </c>
      <c r="B51" t="s">
        <v>85</v>
      </c>
      <c r="E51" s="1">
        <v>50</v>
      </c>
    </row>
    <row r="52" spans="1:5" x14ac:dyDescent="0.2">
      <c r="A52" t="s">
        <v>65</v>
      </c>
      <c r="B52" t="s">
        <v>86</v>
      </c>
      <c r="E52" s="1">
        <v>51</v>
      </c>
    </row>
    <row r="53" spans="1:5" x14ac:dyDescent="0.2">
      <c r="A53" t="s">
        <v>66</v>
      </c>
      <c r="B53" t="s">
        <v>132</v>
      </c>
      <c r="E53" s="1">
        <v>52</v>
      </c>
    </row>
    <row r="54" spans="1:5" x14ac:dyDescent="0.2">
      <c r="A54" t="s">
        <v>67</v>
      </c>
      <c r="B54" t="s">
        <v>133</v>
      </c>
      <c r="E54" s="1">
        <v>53</v>
      </c>
    </row>
    <row r="55" spans="1:5" x14ac:dyDescent="0.2">
      <c r="A55" t="s">
        <v>68</v>
      </c>
      <c r="B55" t="s">
        <v>134</v>
      </c>
      <c r="E55" s="1">
        <v>54</v>
      </c>
    </row>
    <row r="56" spans="1:5" x14ac:dyDescent="0.2">
      <c r="A56" t="s">
        <v>69</v>
      </c>
      <c r="B56" t="s">
        <v>151</v>
      </c>
      <c r="E56" s="1">
        <v>55</v>
      </c>
    </row>
    <row r="57" spans="1:5" x14ac:dyDescent="0.2">
      <c r="A57" t="s">
        <v>70</v>
      </c>
      <c r="B57" t="s">
        <v>135</v>
      </c>
      <c r="E57" s="1">
        <v>56</v>
      </c>
    </row>
    <row r="58" spans="1:5" x14ac:dyDescent="0.2">
      <c r="A58" t="s">
        <v>71</v>
      </c>
      <c r="B58" t="s">
        <v>152</v>
      </c>
      <c r="E58" s="1">
        <v>57</v>
      </c>
    </row>
    <row r="59" spans="1:5" x14ac:dyDescent="0.2">
      <c r="A59" t="s">
        <v>72</v>
      </c>
      <c r="B59" t="s">
        <v>87</v>
      </c>
      <c r="E59" s="1">
        <v>58</v>
      </c>
    </row>
    <row r="60" spans="1:5" x14ac:dyDescent="0.2">
      <c r="A60" t="s">
        <v>73</v>
      </c>
      <c r="B60" t="s">
        <v>148</v>
      </c>
      <c r="E60" s="1">
        <v>59</v>
      </c>
    </row>
    <row r="61" spans="1:5" x14ac:dyDescent="0.2">
      <c r="A61" t="s">
        <v>18</v>
      </c>
      <c r="B61" t="s">
        <v>1337</v>
      </c>
      <c r="E61" s="1">
        <v>60</v>
      </c>
    </row>
    <row r="62" spans="1:5" x14ac:dyDescent="0.2">
      <c r="A62" t="s">
        <v>74</v>
      </c>
      <c r="B62" t="s">
        <v>136</v>
      </c>
      <c r="E62" s="1">
        <v>61</v>
      </c>
    </row>
    <row r="63" spans="1:5" x14ac:dyDescent="0.2">
      <c r="A63" t="s">
        <v>75</v>
      </c>
      <c r="B63" t="s">
        <v>88</v>
      </c>
      <c r="E63" s="1">
        <v>62</v>
      </c>
    </row>
    <row r="64" spans="1:5" x14ac:dyDescent="0.2">
      <c r="A64" t="s">
        <v>76</v>
      </c>
      <c r="B64" t="s">
        <v>153</v>
      </c>
      <c r="E64" s="1">
        <v>63</v>
      </c>
    </row>
    <row r="65" spans="1:5" x14ac:dyDescent="0.2">
      <c r="A65" t="s">
        <v>77</v>
      </c>
      <c r="B65" t="s">
        <v>89</v>
      </c>
      <c r="E65" s="1">
        <v>64</v>
      </c>
    </row>
    <row r="66" spans="1:5" x14ac:dyDescent="0.2">
      <c r="A66" t="s">
        <v>78</v>
      </c>
      <c r="B66" t="s">
        <v>90</v>
      </c>
      <c r="E66" s="1">
        <v>65</v>
      </c>
    </row>
    <row r="67" spans="1:5" x14ac:dyDescent="0.2">
      <c r="A67" t="s">
        <v>79</v>
      </c>
      <c r="B67" t="s">
        <v>91</v>
      </c>
      <c r="E67" s="1">
        <v>66</v>
      </c>
    </row>
    <row r="68" spans="1:5" x14ac:dyDescent="0.2">
      <c r="A68" t="s">
        <v>80</v>
      </c>
      <c r="B68" t="s">
        <v>149</v>
      </c>
      <c r="E68" s="1">
        <v>67</v>
      </c>
    </row>
    <row r="69" spans="1:5" x14ac:dyDescent="0.2">
      <c r="A69" t="s">
        <v>81</v>
      </c>
      <c r="B69" t="s">
        <v>137</v>
      </c>
      <c r="E69" s="1">
        <v>68</v>
      </c>
    </row>
    <row r="70" spans="1:5" x14ac:dyDescent="0.2">
      <c r="E70" s="1">
        <v>69</v>
      </c>
    </row>
    <row r="71" spans="1:5" x14ac:dyDescent="0.2">
      <c r="E71" s="1">
        <v>70</v>
      </c>
    </row>
    <row r="72" spans="1:5" x14ac:dyDescent="0.2">
      <c r="E72" s="1">
        <v>71</v>
      </c>
    </row>
    <row r="73" spans="1:5" x14ac:dyDescent="0.2">
      <c r="E73" s="1">
        <v>72</v>
      </c>
    </row>
    <row r="74" spans="1:5" x14ac:dyDescent="0.2">
      <c r="E74" s="1">
        <v>73</v>
      </c>
    </row>
    <row r="75" spans="1:5" x14ac:dyDescent="0.2">
      <c r="E75" s="1">
        <v>74</v>
      </c>
    </row>
    <row r="76" spans="1:5" x14ac:dyDescent="0.2">
      <c r="E76" s="1">
        <v>75</v>
      </c>
    </row>
    <row r="77" spans="1:5" x14ac:dyDescent="0.2">
      <c r="E77" s="1">
        <v>76</v>
      </c>
    </row>
    <row r="78" spans="1:5" x14ac:dyDescent="0.2">
      <c r="E78" s="1">
        <v>77</v>
      </c>
    </row>
    <row r="79" spans="1:5" x14ac:dyDescent="0.2">
      <c r="E79" s="1">
        <v>78</v>
      </c>
    </row>
    <row r="80" spans="1:5" x14ac:dyDescent="0.2">
      <c r="E80" s="1">
        <v>79</v>
      </c>
    </row>
    <row r="81" spans="5:5" x14ac:dyDescent="0.2">
      <c r="E81" s="1">
        <v>80</v>
      </c>
    </row>
    <row r="82" spans="5:5" x14ac:dyDescent="0.2">
      <c r="E82" s="1">
        <v>81</v>
      </c>
    </row>
    <row r="83" spans="5:5" x14ac:dyDescent="0.2">
      <c r="E83" s="1">
        <v>82</v>
      </c>
    </row>
    <row r="84" spans="5:5" x14ac:dyDescent="0.2">
      <c r="E84" s="1">
        <v>83</v>
      </c>
    </row>
    <row r="85" spans="5:5" x14ac:dyDescent="0.2">
      <c r="E85" s="1">
        <v>84</v>
      </c>
    </row>
    <row r="86" spans="5:5" x14ac:dyDescent="0.2">
      <c r="E86" s="1">
        <v>85</v>
      </c>
    </row>
    <row r="87" spans="5:5" x14ac:dyDescent="0.2">
      <c r="E87" s="1">
        <v>86</v>
      </c>
    </row>
    <row r="88" spans="5:5" x14ac:dyDescent="0.2">
      <c r="E88" s="1">
        <v>87</v>
      </c>
    </row>
    <row r="89" spans="5:5" x14ac:dyDescent="0.2">
      <c r="E89" s="1">
        <v>88</v>
      </c>
    </row>
    <row r="90" spans="5:5" x14ac:dyDescent="0.2">
      <c r="E90" s="1">
        <v>89</v>
      </c>
    </row>
    <row r="91" spans="5:5" x14ac:dyDescent="0.2">
      <c r="E91" s="1">
        <v>90</v>
      </c>
    </row>
    <row r="92" spans="5:5" x14ac:dyDescent="0.2">
      <c r="E92" s="1">
        <v>91</v>
      </c>
    </row>
    <row r="93" spans="5:5" x14ac:dyDescent="0.2">
      <c r="E93" s="1">
        <v>92</v>
      </c>
    </row>
    <row r="94" spans="5:5" x14ac:dyDescent="0.2">
      <c r="E94" s="1">
        <v>93</v>
      </c>
    </row>
    <row r="95" spans="5:5" x14ac:dyDescent="0.2">
      <c r="E95" s="1">
        <v>94</v>
      </c>
    </row>
    <row r="96" spans="5:5" x14ac:dyDescent="0.2">
      <c r="E96" s="1">
        <v>95</v>
      </c>
    </row>
    <row r="97" spans="5:5" x14ac:dyDescent="0.2">
      <c r="E97" s="1">
        <v>96</v>
      </c>
    </row>
    <row r="98" spans="5:5" x14ac:dyDescent="0.2">
      <c r="E98" s="1">
        <v>97</v>
      </c>
    </row>
    <row r="99" spans="5:5" x14ac:dyDescent="0.2">
      <c r="E99" s="1">
        <v>98</v>
      </c>
    </row>
    <row r="100" spans="5:5" x14ac:dyDescent="0.2">
      <c r="E100" s="1">
        <v>99</v>
      </c>
    </row>
    <row r="101" spans="5:5" x14ac:dyDescent="0.2">
      <c r="E101" t="s">
        <v>1368</v>
      </c>
    </row>
    <row r="102" spans="5:5" x14ac:dyDescent="0.2">
      <c r="E102" s="1">
        <v>100</v>
      </c>
    </row>
    <row r="103" spans="5:5" x14ac:dyDescent="0.2">
      <c r="E103" s="1">
        <v>101</v>
      </c>
    </row>
    <row r="104" spans="5:5" x14ac:dyDescent="0.2">
      <c r="E104" s="1">
        <v>102</v>
      </c>
    </row>
    <row r="105" spans="5:5" x14ac:dyDescent="0.2">
      <c r="E105" s="1">
        <v>103</v>
      </c>
    </row>
    <row r="106" spans="5:5" x14ac:dyDescent="0.2">
      <c r="E106" s="1">
        <v>104</v>
      </c>
    </row>
    <row r="107" spans="5:5" x14ac:dyDescent="0.2">
      <c r="E107" s="1">
        <v>105</v>
      </c>
    </row>
    <row r="108" spans="5:5" x14ac:dyDescent="0.2">
      <c r="E108" s="1">
        <v>106</v>
      </c>
    </row>
    <row r="109" spans="5:5" x14ac:dyDescent="0.2">
      <c r="E109" s="1">
        <v>107</v>
      </c>
    </row>
    <row r="110" spans="5:5" x14ac:dyDescent="0.2">
      <c r="E110" s="1">
        <v>108</v>
      </c>
    </row>
    <row r="111" spans="5:5" x14ac:dyDescent="0.2">
      <c r="E111" s="1">
        <v>109</v>
      </c>
    </row>
    <row r="112" spans="5:5" x14ac:dyDescent="0.2">
      <c r="E112" s="1">
        <v>110</v>
      </c>
    </row>
    <row r="113" spans="5:5" x14ac:dyDescent="0.2">
      <c r="E113" s="1">
        <v>111</v>
      </c>
    </row>
    <row r="114" spans="5:5" x14ac:dyDescent="0.2">
      <c r="E114" s="1">
        <v>112</v>
      </c>
    </row>
    <row r="115" spans="5:5" x14ac:dyDescent="0.2">
      <c r="E115" s="1">
        <v>113</v>
      </c>
    </row>
    <row r="116" spans="5:5" x14ac:dyDescent="0.2">
      <c r="E116" s="1">
        <v>114</v>
      </c>
    </row>
    <row r="117" spans="5:5" x14ac:dyDescent="0.2">
      <c r="E117" s="1">
        <v>115</v>
      </c>
    </row>
    <row r="118" spans="5:5" x14ac:dyDescent="0.2">
      <c r="E118" s="1">
        <v>116</v>
      </c>
    </row>
    <row r="119" spans="5:5" x14ac:dyDescent="0.2">
      <c r="E119" s="1">
        <v>117</v>
      </c>
    </row>
    <row r="120" spans="5:5" x14ac:dyDescent="0.2">
      <c r="E120" s="1">
        <v>118</v>
      </c>
    </row>
    <row r="121" spans="5:5" x14ac:dyDescent="0.2">
      <c r="E121" s="1">
        <v>119</v>
      </c>
    </row>
    <row r="122" spans="5:5" x14ac:dyDescent="0.2">
      <c r="E122" s="1">
        <v>120</v>
      </c>
    </row>
    <row r="123" spans="5:5" x14ac:dyDescent="0.2">
      <c r="E123" s="1">
        <v>121</v>
      </c>
    </row>
    <row r="124" spans="5:5" x14ac:dyDescent="0.2">
      <c r="E124" s="1">
        <v>122</v>
      </c>
    </row>
    <row r="125" spans="5:5" x14ac:dyDescent="0.2">
      <c r="E125" s="1">
        <v>123</v>
      </c>
    </row>
    <row r="126" spans="5:5" x14ac:dyDescent="0.2">
      <c r="E126" s="1">
        <v>124</v>
      </c>
    </row>
    <row r="127" spans="5:5" x14ac:dyDescent="0.2">
      <c r="E127" s="1">
        <v>125</v>
      </c>
    </row>
    <row r="128" spans="5:5" x14ac:dyDescent="0.2">
      <c r="E128" s="1">
        <v>126</v>
      </c>
    </row>
    <row r="129" spans="5:5" x14ac:dyDescent="0.2">
      <c r="E129" s="1">
        <v>127</v>
      </c>
    </row>
    <row r="130" spans="5:5" x14ac:dyDescent="0.2">
      <c r="E130" s="1">
        <v>128</v>
      </c>
    </row>
    <row r="131" spans="5:5" x14ac:dyDescent="0.2">
      <c r="E131" s="1">
        <v>129</v>
      </c>
    </row>
    <row r="132" spans="5:5" x14ac:dyDescent="0.2">
      <c r="E132" s="1">
        <v>130</v>
      </c>
    </row>
    <row r="133" spans="5:5" x14ac:dyDescent="0.2">
      <c r="E133" s="1">
        <v>131</v>
      </c>
    </row>
    <row r="134" spans="5:5" x14ac:dyDescent="0.2">
      <c r="E134" s="1">
        <v>132</v>
      </c>
    </row>
    <row r="135" spans="5:5" x14ac:dyDescent="0.2">
      <c r="E135" s="1">
        <v>133</v>
      </c>
    </row>
    <row r="136" spans="5:5" x14ac:dyDescent="0.2">
      <c r="E136" s="1">
        <v>134</v>
      </c>
    </row>
    <row r="137" spans="5:5" x14ac:dyDescent="0.2">
      <c r="E137" s="1">
        <v>135</v>
      </c>
    </row>
    <row r="138" spans="5:5" x14ac:dyDescent="0.2">
      <c r="E138" s="1">
        <v>136</v>
      </c>
    </row>
    <row r="139" spans="5:5" x14ac:dyDescent="0.2">
      <c r="E139" s="1">
        <v>137</v>
      </c>
    </row>
    <row r="140" spans="5:5" x14ac:dyDescent="0.2">
      <c r="E140" s="1">
        <v>138</v>
      </c>
    </row>
    <row r="141" spans="5:5" x14ac:dyDescent="0.2">
      <c r="E141" s="1">
        <v>139</v>
      </c>
    </row>
    <row r="142" spans="5:5" x14ac:dyDescent="0.2">
      <c r="E142" s="1">
        <v>140</v>
      </c>
    </row>
    <row r="143" spans="5:5" x14ac:dyDescent="0.2">
      <c r="E143" s="1">
        <v>141</v>
      </c>
    </row>
    <row r="144" spans="5:5" x14ac:dyDescent="0.2">
      <c r="E144" s="1">
        <v>142</v>
      </c>
    </row>
    <row r="145" spans="5:5" x14ac:dyDescent="0.2">
      <c r="E145" s="1">
        <v>143</v>
      </c>
    </row>
    <row r="146" spans="5:5" x14ac:dyDescent="0.2">
      <c r="E146" s="1">
        <v>144</v>
      </c>
    </row>
    <row r="147" spans="5:5" x14ac:dyDescent="0.2">
      <c r="E147" s="1">
        <v>145</v>
      </c>
    </row>
    <row r="148" spans="5:5" x14ac:dyDescent="0.2">
      <c r="E148" s="1">
        <v>146</v>
      </c>
    </row>
    <row r="149" spans="5:5" x14ac:dyDescent="0.2">
      <c r="E149" s="1">
        <v>147</v>
      </c>
    </row>
    <row r="150" spans="5:5" x14ac:dyDescent="0.2">
      <c r="E150" s="1">
        <v>148</v>
      </c>
    </row>
    <row r="151" spans="5:5" x14ac:dyDescent="0.2">
      <c r="E151" s="1">
        <v>149</v>
      </c>
    </row>
    <row r="152" spans="5:5" x14ac:dyDescent="0.2">
      <c r="E152" s="1">
        <v>150</v>
      </c>
    </row>
    <row r="153" spans="5:5" x14ac:dyDescent="0.2">
      <c r="E153" s="1">
        <v>151</v>
      </c>
    </row>
    <row r="154" spans="5:5" x14ac:dyDescent="0.2">
      <c r="E154" s="1">
        <v>152</v>
      </c>
    </row>
    <row r="155" spans="5:5" x14ac:dyDescent="0.2">
      <c r="E155" s="1">
        <v>153</v>
      </c>
    </row>
    <row r="156" spans="5:5" x14ac:dyDescent="0.2">
      <c r="E156" s="1">
        <v>154</v>
      </c>
    </row>
    <row r="157" spans="5:5" x14ac:dyDescent="0.2">
      <c r="E157" s="1">
        <v>155</v>
      </c>
    </row>
    <row r="158" spans="5:5" x14ac:dyDescent="0.2">
      <c r="E158" s="1">
        <v>156</v>
      </c>
    </row>
    <row r="159" spans="5:5" x14ac:dyDescent="0.2">
      <c r="E159" s="1">
        <v>157</v>
      </c>
    </row>
    <row r="160" spans="5:5" x14ac:dyDescent="0.2">
      <c r="E160" s="1">
        <v>158</v>
      </c>
    </row>
    <row r="161" spans="5:5" x14ac:dyDescent="0.2">
      <c r="E161" s="1">
        <v>159</v>
      </c>
    </row>
    <row r="162" spans="5:5" x14ac:dyDescent="0.2">
      <c r="E162" s="1">
        <v>160</v>
      </c>
    </row>
    <row r="163" spans="5:5" x14ac:dyDescent="0.2">
      <c r="E163" s="1">
        <v>161</v>
      </c>
    </row>
    <row r="164" spans="5:5" x14ac:dyDescent="0.2">
      <c r="E164" s="1">
        <v>162</v>
      </c>
    </row>
    <row r="165" spans="5:5" x14ac:dyDescent="0.2">
      <c r="E165" s="1">
        <v>163</v>
      </c>
    </row>
    <row r="166" spans="5:5" x14ac:dyDescent="0.2">
      <c r="E166" s="1">
        <v>164</v>
      </c>
    </row>
    <row r="167" spans="5:5" x14ac:dyDescent="0.2">
      <c r="E167" s="1">
        <v>165</v>
      </c>
    </row>
    <row r="168" spans="5:5" x14ac:dyDescent="0.2">
      <c r="E168" s="1">
        <v>166</v>
      </c>
    </row>
    <row r="169" spans="5:5" x14ac:dyDescent="0.2">
      <c r="E169" s="1">
        <v>167</v>
      </c>
    </row>
    <row r="170" spans="5:5" x14ac:dyDescent="0.2">
      <c r="E170" s="1">
        <v>168</v>
      </c>
    </row>
    <row r="171" spans="5:5" x14ac:dyDescent="0.2">
      <c r="E171" s="1">
        <v>169</v>
      </c>
    </row>
    <row r="172" spans="5:5" x14ac:dyDescent="0.2">
      <c r="E172" s="1">
        <v>170</v>
      </c>
    </row>
    <row r="173" spans="5:5" x14ac:dyDescent="0.2">
      <c r="E173" s="1">
        <v>171</v>
      </c>
    </row>
    <row r="174" spans="5:5" x14ac:dyDescent="0.2">
      <c r="E174" s="1">
        <v>172</v>
      </c>
    </row>
    <row r="175" spans="5:5" x14ac:dyDescent="0.2">
      <c r="E175" s="1">
        <v>173</v>
      </c>
    </row>
    <row r="176" spans="5:5" x14ac:dyDescent="0.2">
      <c r="E176" s="1">
        <v>174</v>
      </c>
    </row>
    <row r="177" spans="5:5" x14ac:dyDescent="0.2">
      <c r="E177" s="1">
        <v>175</v>
      </c>
    </row>
    <row r="178" spans="5:5" x14ac:dyDescent="0.2">
      <c r="E178" s="1">
        <v>176</v>
      </c>
    </row>
    <row r="179" spans="5:5" x14ac:dyDescent="0.2">
      <c r="E179" s="1">
        <v>177</v>
      </c>
    </row>
    <row r="180" spans="5:5" x14ac:dyDescent="0.2">
      <c r="E180" s="1">
        <v>178</v>
      </c>
    </row>
    <row r="181" spans="5:5" x14ac:dyDescent="0.2">
      <c r="E181" s="1">
        <v>179</v>
      </c>
    </row>
    <row r="182" spans="5:5" x14ac:dyDescent="0.2">
      <c r="E182" s="1">
        <v>180</v>
      </c>
    </row>
    <row r="183" spans="5:5" x14ac:dyDescent="0.2">
      <c r="E183" s="1">
        <v>181</v>
      </c>
    </row>
    <row r="184" spans="5:5" x14ac:dyDescent="0.2">
      <c r="E184" s="1">
        <v>182</v>
      </c>
    </row>
    <row r="185" spans="5:5" x14ac:dyDescent="0.2">
      <c r="E185" s="1">
        <v>183</v>
      </c>
    </row>
    <row r="186" spans="5:5" x14ac:dyDescent="0.2">
      <c r="E186" s="1">
        <v>184</v>
      </c>
    </row>
    <row r="187" spans="5:5" x14ac:dyDescent="0.2">
      <c r="E187" s="1">
        <v>185</v>
      </c>
    </row>
    <row r="188" spans="5:5" x14ac:dyDescent="0.2">
      <c r="E188" s="1">
        <v>186</v>
      </c>
    </row>
    <row r="189" spans="5:5" x14ac:dyDescent="0.2">
      <c r="E189" s="1">
        <v>187</v>
      </c>
    </row>
    <row r="190" spans="5:5" x14ac:dyDescent="0.2">
      <c r="E190" s="1">
        <v>188</v>
      </c>
    </row>
    <row r="191" spans="5:5" x14ac:dyDescent="0.2">
      <c r="E191" s="1">
        <v>189</v>
      </c>
    </row>
    <row r="192" spans="5:5" x14ac:dyDescent="0.2">
      <c r="E192" s="1">
        <v>190</v>
      </c>
    </row>
    <row r="193" spans="5:5" x14ac:dyDescent="0.2">
      <c r="E193" s="1">
        <v>191</v>
      </c>
    </row>
    <row r="194" spans="5:5" x14ac:dyDescent="0.2">
      <c r="E194" s="1">
        <v>192</v>
      </c>
    </row>
    <row r="195" spans="5:5" x14ac:dyDescent="0.2">
      <c r="E195" s="1">
        <v>193</v>
      </c>
    </row>
    <row r="196" spans="5:5" x14ac:dyDescent="0.2">
      <c r="E196" s="1">
        <v>194</v>
      </c>
    </row>
    <row r="197" spans="5:5" x14ac:dyDescent="0.2">
      <c r="E197" s="1">
        <v>195</v>
      </c>
    </row>
    <row r="198" spans="5:5" x14ac:dyDescent="0.2">
      <c r="E198" s="1">
        <v>196</v>
      </c>
    </row>
    <row r="199" spans="5:5" x14ac:dyDescent="0.2">
      <c r="E199" s="1">
        <v>197</v>
      </c>
    </row>
    <row r="200" spans="5:5" x14ac:dyDescent="0.2">
      <c r="E200" s="1">
        <v>198</v>
      </c>
    </row>
    <row r="201" spans="5:5" x14ac:dyDescent="0.2">
      <c r="E201" s="1">
        <v>199</v>
      </c>
    </row>
    <row r="202" spans="5:5" x14ac:dyDescent="0.2">
      <c r="E202" s="1">
        <v>200</v>
      </c>
    </row>
    <row r="203" spans="5:5" x14ac:dyDescent="0.2">
      <c r="E203" s="1">
        <v>201</v>
      </c>
    </row>
    <row r="204" spans="5:5" x14ac:dyDescent="0.2">
      <c r="E204" s="1">
        <v>202</v>
      </c>
    </row>
    <row r="205" spans="5:5" x14ac:dyDescent="0.2">
      <c r="E205" s="1">
        <v>203</v>
      </c>
    </row>
    <row r="206" spans="5:5" x14ac:dyDescent="0.2">
      <c r="E206" s="1">
        <v>204</v>
      </c>
    </row>
    <row r="207" spans="5:5" x14ac:dyDescent="0.2">
      <c r="E207" s="1">
        <v>205</v>
      </c>
    </row>
    <row r="208" spans="5:5" x14ac:dyDescent="0.2">
      <c r="E208" s="1">
        <v>206</v>
      </c>
    </row>
    <row r="209" spans="5:5" x14ac:dyDescent="0.2">
      <c r="E209" s="1">
        <v>207</v>
      </c>
    </row>
    <row r="210" spans="5:5" x14ac:dyDescent="0.2">
      <c r="E210" s="1">
        <v>208</v>
      </c>
    </row>
    <row r="211" spans="5:5" x14ac:dyDescent="0.2">
      <c r="E211" s="1">
        <v>209</v>
      </c>
    </row>
    <row r="212" spans="5:5" x14ac:dyDescent="0.2">
      <c r="E212" s="1">
        <v>210</v>
      </c>
    </row>
    <row r="213" spans="5:5" x14ac:dyDescent="0.2">
      <c r="E213" s="1">
        <v>211</v>
      </c>
    </row>
    <row r="214" spans="5:5" x14ac:dyDescent="0.2">
      <c r="E214" s="1">
        <v>212</v>
      </c>
    </row>
    <row r="215" spans="5:5" x14ac:dyDescent="0.2">
      <c r="E215" s="1">
        <v>213</v>
      </c>
    </row>
    <row r="216" spans="5:5" x14ac:dyDescent="0.2">
      <c r="E216" s="1">
        <v>214</v>
      </c>
    </row>
    <row r="217" spans="5:5" x14ac:dyDescent="0.2">
      <c r="E217" s="1">
        <v>215</v>
      </c>
    </row>
    <row r="218" spans="5:5" x14ac:dyDescent="0.2">
      <c r="E218" s="1">
        <v>216</v>
      </c>
    </row>
    <row r="219" spans="5:5" x14ac:dyDescent="0.2">
      <c r="E219" s="1">
        <v>217</v>
      </c>
    </row>
    <row r="220" spans="5:5" x14ac:dyDescent="0.2">
      <c r="E220" s="1">
        <v>218</v>
      </c>
    </row>
    <row r="221" spans="5:5" x14ac:dyDescent="0.2">
      <c r="E221" s="1">
        <v>219</v>
      </c>
    </row>
    <row r="222" spans="5:5" x14ac:dyDescent="0.2">
      <c r="E222" s="1">
        <v>220</v>
      </c>
    </row>
    <row r="223" spans="5:5" x14ac:dyDescent="0.2">
      <c r="E223" s="1">
        <v>221</v>
      </c>
    </row>
    <row r="224" spans="5:5" x14ac:dyDescent="0.2">
      <c r="E224" s="1">
        <v>222</v>
      </c>
    </row>
    <row r="225" spans="5:5" x14ac:dyDescent="0.2">
      <c r="E225" s="1">
        <v>223</v>
      </c>
    </row>
    <row r="226" spans="5:5" x14ac:dyDescent="0.2">
      <c r="E226" s="1">
        <v>224</v>
      </c>
    </row>
    <row r="227" spans="5:5" x14ac:dyDescent="0.2">
      <c r="E227" s="1">
        <v>225</v>
      </c>
    </row>
    <row r="228" spans="5:5" x14ac:dyDescent="0.2">
      <c r="E228" s="1">
        <v>226</v>
      </c>
    </row>
    <row r="229" spans="5:5" x14ac:dyDescent="0.2">
      <c r="E229" s="1">
        <v>227</v>
      </c>
    </row>
    <row r="230" spans="5:5" x14ac:dyDescent="0.2">
      <c r="E230" s="1">
        <v>228</v>
      </c>
    </row>
    <row r="231" spans="5:5" x14ac:dyDescent="0.2">
      <c r="E231" s="1">
        <v>229</v>
      </c>
    </row>
    <row r="232" spans="5:5" x14ac:dyDescent="0.2">
      <c r="E232" s="1">
        <v>230</v>
      </c>
    </row>
    <row r="233" spans="5:5" x14ac:dyDescent="0.2">
      <c r="E233" s="1">
        <v>231</v>
      </c>
    </row>
    <row r="234" spans="5:5" x14ac:dyDescent="0.2">
      <c r="E234" s="1">
        <v>232</v>
      </c>
    </row>
    <row r="235" spans="5:5" x14ac:dyDescent="0.2">
      <c r="E235" s="1">
        <v>233</v>
      </c>
    </row>
    <row r="236" spans="5:5" x14ac:dyDescent="0.2">
      <c r="E236" s="1">
        <v>234</v>
      </c>
    </row>
    <row r="237" spans="5:5" x14ac:dyDescent="0.2">
      <c r="E237" s="1">
        <v>235</v>
      </c>
    </row>
    <row r="238" spans="5:5" x14ac:dyDescent="0.2">
      <c r="E238" s="1">
        <v>236</v>
      </c>
    </row>
    <row r="239" spans="5:5" x14ac:dyDescent="0.2">
      <c r="E239" s="1">
        <v>237</v>
      </c>
    </row>
    <row r="240" spans="5:5" x14ac:dyDescent="0.2">
      <c r="E240" s="1">
        <v>238</v>
      </c>
    </row>
    <row r="241" spans="5:5" x14ac:dyDescent="0.2">
      <c r="E241" s="1">
        <v>239</v>
      </c>
    </row>
    <row r="242" spans="5:5" x14ac:dyDescent="0.2">
      <c r="E242" s="1">
        <v>240</v>
      </c>
    </row>
    <row r="243" spans="5:5" x14ac:dyDescent="0.2">
      <c r="E243" s="1">
        <v>241</v>
      </c>
    </row>
    <row r="244" spans="5:5" x14ac:dyDescent="0.2">
      <c r="E244" s="1">
        <v>242</v>
      </c>
    </row>
    <row r="245" spans="5:5" x14ac:dyDescent="0.2">
      <c r="E245" s="1">
        <v>243</v>
      </c>
    </row>
    <row r="246" spans="5:5" x14ac:dyDescent="0.2">
      <c r="E246" s="1">
        <v>244</v>
      </c>
    </row>
    <row r="247" spans="5:5" x14ac:dyDescent="0.2">
      <c r="E247" s="1">
        <v>245</v>
      </c>
    </row>
    <row r="248" spans="5:5" x14ac:dyDescent="0.2">
      <c r="E248" s="1">
        <v>246</v>
      </c>
    </row>
    <row r="249" spans="5:5" x14ac:dyDescent="0.2">
      <c r="E249" s="1">
        <v>247</v>
      </c>
    </row>
    <row r="250" spans="5:5" x14ac:dyDescent="0.2">
      <c r="E250" s="1">
        <v>248</v>
      </c>
    </row>
    <row r="251" spans="5:5" x14ac:dyDescent="0.2">
      <c r="E251" s="1">
        <v>249</v>
      </c>
    </row>
    <row r="252" spans="5:5" x14ac:dyDescent="0.2">
      <c r="E252" s="1">
        <v>250</v>
      </c>
    </row>
    <row r="253" spans="5:5" x14ac:dyDescent="0.2">
      <c r="E253" s="1">
        <v>251</v>
      </c>
    </row>
    <row r="254" spans="5:5" x14ac:dyDescent="0.2">
      <c r="E254" s="1">
        <v>252</v>
      </c>
    </row>
    <row r="255" spans="5:5" x14ac:dyDescent="0.2">
      <c r="E255" s="1">
        <v>253</v>
      </c>
    </row>
    <row r="256" spans="5:5" x14ac:dyDescent="0.2">
      <c r="E256" s="1">
        <v>254</v>
      </c>
    </row>
    <row r="257" spans="5:5" x14ac:dyDescent="0.2">
      <c r="E257" s="1">
        <v>255</v>
      </c>
    </row>
    <row r="258" spans="5:5" x14ac:dyDescent="0.2">
      <c r="E258" s="1">
        <v>256</v>
      </c>
    </row>
    <row r="259" spans="5:5" x14ac:dyDescent="0.2">
      <c r="E259" s="1">
        <v>257</v>
      </c>
    </row>
    <row r="260" spans="5:5" x14ac:dyDescent="0.2">
      <c r="E260" s="1">
        <v>258</v>
      </c>
    </row>
    <row r="261" spans="5:5" x14ac:dyDescent="0.2">
      <c r="E261" s="1">
        <v>259</v>
      </c>
    </row>
    <row r="262" spans="5:5" x14ac:dyDescent="0.2">
      <c r="E262" s="1">
        <v>260</v>
      </c>
    </row>
    <row r="263" spans="5:5" x14ac:dyDescent="0.2">
      <c r="E263" s="1">
        <v>261</v>
      </c>
    </row>
    <row r="264" spans="5:5" x14ac:dyDescent="0.2">
      <c r="E264" s="1">
        <v>262</v>
      </c>
    </row>
    <row r="265" spans="5:5" x14ac:dyDescent="0.2">
      <c r="E265" s="1">
        <v>263</v>
      </c>
    </row>
    <row r="266" spans="5:5" x14ac:dyDescent="0.2">
      <c r="E266" s="1">
        <v>264</v>
      </c>
    </row>
    <row r="267" spans="5:5" x14ac:dyDescent="0.2">
      <c r="E267" s="1">
        <v>265</v>
      </c>
    </row>
    <row r="268" spans="5:5" x14ac:dyDescent="0.2">
      <c r="E268" s="1">
        <v>266</v>
      </c>
    </row>
    <row r="269" spans="5:5" x14ac:dyDescent="0.2">
      <c r="E269" s="1">
        <v>267</v>
      </c>
    </row>
    <row r="270" spans="5:5" x14ac:dyDescent="0.2">
      <c r="E270" s="1">
        <v>268</v>
      </c>
    </row>
    <row r="271" spans="5:5" x14ac:dyDescent="0.2">
      <c r="E271" s="1">
        <v>269</v>
      </c>
    </row>
    <row r="272" spans="5:5" x14ac:dyDescent="0.2">
      <c r="E272" s="1">
        <v>270</v>
      </c>
    </row>
    <row r="273" spans="5:5" x14ac:dyDescent="0.2">
      <c r="E273" s="1">
        <v>271</v>
      </c>
    </row>
    <row r="274" spans="5:5" x14ac:dyDescent="0.2">
      <c r="E274" s="1">
        <v>272</v>
      </c>
    </row>
    <row r="275" spans="5:5" x14ac:dyDescent="0.2">
      <c r="E275" s="1">
        <v>273</v>
      </c>
    </row>
    <row r="276" spans="5:5" x14ac:dyDescent="0.2">
      <c r="E276" s="1">
        <v>274</v>
      </c>
    </row>
    <row r="277" spans="5:5" x14ac:dyDescent="0.2">
      <c r="E277" s="1">
        <v>275</v>
      </c>
    </row>
    <row r="278" spans="5:5" x14ac:dyDescent="0.2">
      <c r="E278" s="1">
        <v>276</v>
      </c>
    </row>
    <row r="279" spans="5:5" x14ac:dyDescent="0.2">
      <c r="E279" s="1">
        <v>277</v>
      </c>
    </row>
    <row r="280" spans="5:5" x14ac:dyDescent="0.2">
      <c r="E280" s="1">
        <v>278</v>
      </c>
    </row>
    <row r="281" spans="5:5" x14ac:dyDescent="0.2">
      <c r="E281" s="1">
        <v>279</v>
      </c>
    </row>
    <row r="282" spans="5:5" x14ac:dyDescent="0.2">
      <c r="E282" s="1">
        <v>280</v>
      </c>
    </row>
    <row r="283" spans="5:5" x14ac:dyDescent="0.2">
      <c r="E283" s="1">
        <v>281</v>
      </c>
    </row>
    <row r="284" spans="5:5" x14ac:dyDescent="0.2">
      <c r="E284" s="1">
        <v>282</v>
      </c>
    </row>
    <row r="285" spans="5:5" x14ac:dyDescent="0.2">
      <c r="E285" s="1">
        <v>283</v>
      </c>
    </row>
    <row r="286" spans="5:5" x14ac:dyDescent="0.2">
      <c r="E286" s="1">
        <v>284</v>
      </c>
    </row>
    <row r="287" spans="5:5" x14ac:dyDescent="0.2">
      <c r="E287" s="1">
        <v>285</v>
      </c>
    </row>
    <row r="288" spans="5:5" x14ac:dyDescent="0.2">
      <c r="E288" s="1">
        <v>286</v>
      </c>
    </row>
    <row r="289" spans="5:5" x14ac:dyDescent="0.2">
      <c r="E289" s="1">
        <v>287</v>
      </c>
    </row>
    <row r="290" spans="5:5" x14ac:dyDescent="0.2">
      <c r="E290" s="1">
        <v>288</v>
      </c>
    </row>
    <row r="291" spans="5:5" x14ac:dyDescent="0.2">
      <c r="E291" s="1">
        <v>289</v>
      </c>
    </row>
    <row r="292" spans="5:5" x14ac:dyDescent="0.2">
      <c r="E292" s="1">
        <v>290</v>
      </c>
    </row>
    <row r="293" spans="5:5" x14ac:dyDescent="0.2">
      <c r="E293" s="1">
        <v>291</v>
      </c>
    </row>
    <row r="294" spans="5:5" x14ac:dyDescent="0.2">
      <c r="E294" s="1">
        <v>292</v>
      </c>
    </row>
    <row r="295" spans="5:5" x14ac:dyDescent="0.2">
      <c r="E295" s="1">
        <v>293</v>
      </c>
    </row>
    <row r="296" spans="5:5" x14ac:dyDescent="0.2">
      <c r="E296" s="1">
        <v>294</v>
      </c>
    </row>
    <row r="297" spans="5:5" x14ac:dyDescent="0.2">
      <c r="E297" s="1">
        <v>295</v>
      </c>
    </row>
    <row r="298" spans="5:5" x14ac:dyDescent="0.2">
      <c r="E298" s="1">
        <v>296</v>
      </c>
    </row>
    <row r="299" spans="5:5" x14ac:dyDescent="0.2">
      <c r="E299" s="1">
        <v>297</v>
      </c>
    </row>
    <row r="300" spans="5:5" x14ac:dyDescent="0.2">
      <c r="E300" s="1">
        <v>298</v>
      </c>
    </row>
    <row r="301" spans="5:5" x14ac:dyDescent="0.2">
      <c r="E301" s="1">
        <v>299</v>
      </c>
    </row>
    <row r="302" spans="5:5" x14ac:dyDescent="0.2">
      <c r="E302" s="1">
        <v>300</v>
      </c>
    </row>
    <row r="303" spans="5:5" x14ac:dyDescent="0.2">
      <c r="E303" s="1">
        <v>301</v>
      </c>
    </row>
    <row r="304" spans="5:5" x14ac:dyDescent="0.2">
      <c r="E304" s="1">
        <v>302</v>
      </c>
    </row>
    <row r="305" spans="5:5" x14ac:dyDescent="0.2">
      <c r="E305" s="1">
        <v>303</v>
      </c>
    </row>
    <row r="306" spans="5:5" x14ac:dyDescent="0.2">
      <c r="E306" s="1">
        <v>304</v>
      </c>
    </row>
    <row r="307" spans="5:5" x14ac:dyDescent="0.2">
      <c r="E307" s="1">
        <v>305</v>
      </c>
    </row>
    <row r="308" spans="5:5" x14ac:dyDescent="0.2">
      <c r="E308" s="1">
        <v>306</v>
      </c>
    </row>
    <row r="309" spans="5:5" x14ac:dyDescent="0.2">
      <c r="E309" s="1">
        <v>307</v>
      </c>
    </row>
    <row r="310" spans="5:5" x14ac:dyDescent="0.2">
      <c r="E310" s="1">
        <v>308</v>
      </c>
    </row>
    <row r="311" spans="5:5" x14ac:dyDescent="0.2">
      <c r="E311" s="1">
        <v>309</v>
      </c>
    </row>
    <row r="312" spans="5:5" x14ac:dyDescent="0.2">
      <c r="E312" s="1">
        <v>310</v>
      </c>
    </row>
    <row r="313" spans="5:5" x14ac:dyDescent="0.2">
      <c r="E313" s="1">
        <v>311</v>
      </c>
    </row>
    <row r="314" spans="5:5" x14ac:dyDescent="0.2">
      <c r="E314" s="1">
        <v>312</v>
      </c>
    </row>
    <row r="315" spans="5:5" x14ac:dyDescent="0.2">
      <c r="E315" s="1">
        <v>313</v>
      </c>
    </row>
    <row r="316" spans="5:5" x14ac:dyDescent="0.2">
      <c r="E316" s="1">
        <v>314</v>
      </c>
    </row>
    <row r="317" spans="5:5" x14ac:dyDescent="0.2">
      <c r="E317" s="1">
        <v>315</v>
      </c>
    </row>
    <row r="318" spans="5:5" x14ac:dyDescent="0.2">
      <c r="E318" s="1">
        <v>316</v>
      </c>
    </row>
    <row r="319" spans="5:5" x14ac:dyDescent="0.2">
      <c r="E319" s="1">
        <v>317</v>
      </c>
    </row>
    <row r="320" spans="5:5" x14ac:dyDescent="0.2">
      <c r="E320" s="1">
        <v>318</v>
      </c>
    </row>
    <row r="321" spans="5:5" x14ac:dyDescent="0.2">
      <c r="E321" s="1">
        <v>319</v>
      </c>
    </row>
    <row r="322" spans="5:5" x14ac:dyDescent="0.2">
      <c r="E322" s="1">
        <v>320</v>
      </c>
    </row>
    <row r="323" spans="5:5" x14ac:dyDescent="0.2">
      <c r="E323" s="1">
        <v>321</v>
      </c>
    </row>
    <row r="324" spans="5:5" x14ac:dyDescent="0.2">
      <c r="E324" s="1">
        <v>322</v>
      </c>
    </row>
    <row r="325" spans="5:5" x14ac:dyDescent="0.2">
      <c r="E325" s="1">
        <v>323</v>
      </c>
    </row>
    <row r="326" spans="5:5" x14ac:dyDescent="0.2">
      <c r="E326" s="1">
        <v>324</v>
      </c>
    </row>
    <row r="327" spans="5:5" x14ac:dyDescent="0.2">
      <c r="E327" s="1">
        <v>325</v>
      </c>
    </row>
    <row r="328" spans="5:5" x14ac:dyDescent="0.2">
      <c r="E328" s="1">
        <v>326</v>
      </c>
    </row>
    <row r="329" spans="5:5" x14ac:dyDescent="0.2">
      <c r="E329" s="1">
        <v>327</v>
      </c>
    </row>
    <row r="330" spans="5:5" x14ac:dyDescent="0.2">
      <c r="E330" s="1">
        <v>328</v>
      </c>
    </row>
    <row r="331" spans="5:5" x14ac:dyDescent="0.2">
      <c r="E331" s="1">
        <v>329</v>
      </c>
    </row>
    <row r="332" spans="5:5" x14ac:dyDescent="0.2">
      <c r="E332" s="1">
        <v>330</v>
      </c>
    </row>
    <row r="333" spans="5:5" x14ac:dyDescent="0.2">
      <c r="E333" s="1">
        <v>331</v>
      </c>
    </row>
    <row r="334" spans="5:5" x14ac:dyDescent="0.2">
      <c r="E334" s="1">
        <v>332</v>
      </c>
    </row>
    <row r="335" spans="5:5" x14ac:dyDescent="0.2">
      <c r="E335" s="1">
        <v>333</v>
      </c>
    </row>
    <row r="336" spans="5:5" x14ac:dyDescent="0.2">
      <c r="E336" s="1">
        <v>334</v>
      </c>
    </row>
    <row r="337" spans="5:5" x14ac:dyDescent="0.2">
      <c r="E337" s="1">
        <v>335</v>
      </c>
    </row>
    <row r="338" spans="5:5" x14ac:dyDescent="0.2">
      <c r="E338" s="1">
        <v>336</v>
      </c>
    </row>
    <row r="339" spans="5:5" x14ac:dyDescent="0.2">
      <c r="E339" s="1">
        <v>337</v>
      </c>
    </row>
    <row r="340" spans="5:5" x14ac:dyDescent="0.2">
      <c r="E340" s="1">
        <v>338</v>
      </c>
    </row>
    <row r="341" spans="5:5" x14ac:dyDescent="0.2">
      <c r="E341" s="1">
        <v>339</v>
      </c>
    </row>
    <row r="342" spans="5:5" x14ac:dyDescent="0.2">
      <c r="E342" s="1">
        <v>340</v>
      </c>
    </row>
    <row r="343" spans="5:5" x14ac:dyDescent="0.2">
      <c r="E343" s="1">
        <v>341</v>
      </c>
    </row>
    <row r="344" spans="5:5" x14ac:dyDescent="0.2">
      <c r="E344" s="1">
        <v>342</v>
      </c>
    </row>
    <row r="345" spans="5:5" x14ac:dyDescent="0.2">
      <c r="E345" s="1">
        <v>343</v>
      </c>
    </row>
    <row r="346" spans="5:5" x14ac:dyDescent="0.2">
      <c r="E346" s="1">
        <v>344</v>
      </c>
    </row>
    <row r="347" spans="5:5" x14ac:dyDescent="0.2">
      <c r="E347" s="1">
        <v>345</v>
      </c>
    </row>
    <row r="348" spans="5:5" x14ac:dyDescent="0.2">
      <c r="E348" s="1">
        <v>346</v>
      </c>
    </row>
    <row r="349" spans="5:5" x14ac:dyDescent="0.2">
      <c r="E349" s="1">
        <v>347</v>
      </c>
    </row>
    <row r="350" spans="5:5" x14ac:dyDescent="0.2">
      <c r="E350" s="1">
        <v>348</v>
      </c>
    </row>
    <row r="351" spans="5:5" x14ac:dyDescent="0.2">
      <c r="E351" s="1">
        <v>349</v>
      </c>
    </row>
    <row r="352" spans="5:5" x14ac:dyDescent="0.2">
      <c r="E352" s="1">
        <v>350</v>
      </c>
    </row>
    <row r="353" spans="5:5" x14ac:dyDescent="0.2">
      <c r="E353" s="1">
        <v>351</v>
      </c>
    </row>
    <row r="354" spans="5:5" x14ac:dyDescent="0.2">
      <c r="E354" s="1">
        <v>352</v>
      </c>
    </row>
    <row r="355" spans="5:5" x14ac:dyDescent="0.2">
      <c r="E355" s="1">
        <v>353</v>
      </c>
    </row>
    <row r="356" spans="5:5" x14ac:dyDescent="0.2">
      <c r="E356" s="1">
        <v>354</v>
      </c>
    </row>
    <row r="357" spans="5:5" x14ac:dyDescent="0.2">
      <c r="E357" s="1">
        <v>355</v>
      </c>
    </row>
    <row r="358" spans="5:5" x14ac:dyDescent="0.2">
      <c r="E358" s="1">
        <v>356</v>
      </c>
    </row>
    <row r="359" spans="5:5" x14ac:dyDescent="0.2">
      <c r="E359" s="1">
        <v>357</v>
      </c>
    </row>
    <row r="360" spans="5:5" x14ac:dyDescent="0.2">
      <c r="E360" s="1">
        <v>358</v>
      </c>
    </row>
    <row r="361" spans="5:5" x14ac:dyDescent="0.2">
      <c r="E361" s="1">
        <v>359</v>
      </c>
    </row>
    <row r="362" spans="5:5" x14ac:dyDescent="0.2">
      <c r="E362" s="1">
        <v>360</v>
      </c>
    </row>
    <row r="363" spans="5:5" x14ac:dyDescent="0.2">
      <c r="E363" s="1">
        <v>361</v>
      </c>
    </row>
    <row r="364" spans="5:5" x14ac:dyDescent="0.2">
      <c r="E364" s="1">
        <v>362</v>
      </c>
    </row>
    <row r="365" spans="5:5" x14ac:dyDescent="0.2">
      <c r="E365" s="1">
        <v>363</v>
      </c>
    </row>
    <row r="366" spans="5:5" x14ac:dyDescent="0.2">
      <c r="E366" s="1">
        <v>364</v>
      </c>
    </row>
    <row r="367" spans="5:5" x14ac:dyDescent="0.2">
      <c r="E367" s="1">
        <v>365</v>
      </c>
    </row>
    <row r="368" spans="5:5" x14ac:dyDescent="0.2">
      <c r="E368" s="1">
        <v>366</v>
      </c>
    </row>
    <row r="369" spans="5:5" x14ac:dyDescent="0.2">
      <c r="E369" s="1">
        <v>367</v>
      </c>
    </row>
    <row r="370" spans="5:5" x14ac:dyDescent="0.2">
      <c r="E370" s="1">
        <v>368</v>
      </c>
    </row>
    <row r="371" spans="5:5" x14ac:dyDescent="0.2">
      <c r="E371" s="1">
        <v>369</v>
      </c>
    </row>
    <row r="372" spans="5:5" x14ac:dyDescent="0.2">
      <c r="E372" s="1">
        <v>370</v>
      </c>
    </row>
    <row r="373" spans="5:5" x14ac:dyDescent="0.2">
      <c r="E373" s="1">
        <v>371</v>
      </c>
    </row>
    <row r="374" spans="5:5" x14ac:dyDescent="0.2">
      <c r="E374" s="1">
        <v>372</v>
      </c>
    </row>
    <row r="375" spans="5:5" x14ac:dyDescent="0.2">
      <c r="E375" s="1">
        <v>373</v>
      </c>
    </row>
    <row r="376" spans="5:5" x14ac:dyDescent="0.2">
      <c r="E376" s="1">
        <v>374</v>
      </c>
    </row>
    <row r="377" spans="5:5" x14ac:dyDescent="0.2">
      <c r="E377" s="1">
        <v>375</v>
      </c>
    </row>
    <row r="378" spans="5:5" x14ac:dyDescent="0.2">
      <c r="E378" s="1">
        <v>376</v>
      </c>
    </row>
    <row r="379" spans="5:5" x14ac:dyDescent="0.2">
      <c r="E379" s="1">
        <v>377</v>
      </c>
    </row>
    <row r="380" spans="5:5" x14ac:dyDescent="0.2">
      <c r="E380" s="1">
        <v>378</v>
      </c>
    </row>
    <row r="381" spans="5:5" x14ac:dyDescent="0.2">
      <c r="E381" s="1">
        <v>379</v>
      </c>
    </row>
    <row r="382" spans="5:5" x14ac:dyDescent="0.2">
      <c r="E382" s="1">
        <v>380</v>
      </c>
    </row>
    <row r="383" spans="5:5" x14ac:dyDescent="0.2">
      <c r="E383" s="1">
        <v>381</v>
      </c>
    </row>
    <row r="384" spans="5:5" x14ac:dyDescent="0.2">
      <c r="E384" s="1">
        <v>382</v>
      </c>
    </row>
    <row r="385" spans="5:5" x14ac:dyDescent="0.2">
      <c r="E385" s="1">
        <v>383</v>
      </c>
    </row>
    <row r="386" spans="5:5" x14ac:dyDescent="0.2">
      <c r="E386" s="1">
        <v>384</v>
      </c>
    </row>
    <row r="387" spans="5:5" x14ac:dyDescent="0.2">
      <c r="E387" s="1">
        <v>385</v>
      </c>
    </row>
    <row r="388" spans="5:5" x14ac:dyDescent="0.2">
      <c r="E388" s="1">
        <v>386</v>
      </c>
    </row>
    <row r="389" spans="5:5" x14ac:dyDescent="0.2">
      <c r="E389" s="1">
        <v>387</v>
      </c>
    </row>
    <row r="390" spans="5:5" x14ac:dyDescent="0.2">
      <c r="E390" s="1">
        <v>388</v>
      </c>
    </row>
    <row r="391" spans="5:5" x14ac:dyDescent="0.2">
      <c r="E391" s="1">
        <v>389</v>
      </c>
    </row>
    <row r="392" spans="5:5" x14ac:dyDescent="0.2">
      <c r="E392" s="1">
        <v>390</v>
      </c>
    </row>
    <row r="393" spans="5:5" x14ac:dyDescent="0.2">
      <c r="E393" s="1">
        <v>391</v>
      </c>
    </row>
    <row r="394" spans="5:5" x14ac:dyDescent="0.2">
      <c r="E394" s="1">
        <v>392</v>
      </c>
    </row>
    <row r="395" spans="5:5" x14ac:dyDescent="0.2">
      <c r="E395" s="1">
        <v>393</v>
      </c>
    </row>
    <row r="396" spans="5:5" x14ac:dyDescent="0.2">
      <c r="E396" s="1">
        <v>394</v>
      </c>
    </row>
    <row r="397" spans="5:5" x14ac:dyDescent="0.2">
      <c r="E397" s="1">
        <v>395</v>
      </c>
    </row>
    <row r="398" spans="5:5" x14ac:dyDescent="0.2">
      <c r="E398" s="1">
        <v>396</v>
      </c>
    </row>
    <row r="399" spans="5:5" x14ac:dyDescent="0.2">
      <c r="E399" s="1">
        <v>397</v>
      </c>
    </row>
    <row r="400" spans="5:5" x14ac:dyDescent="0.2">
      <c r="E400" s="1">
        <v>398</v>
      </c>
    </row>
    <row r="401" spans="5:5" x14ac:dyDescent="0.2">
      <c r="E401" s="1">
        <v>399</v>
      </c>
    </row>
    <row r="402" spans="5:5" x14ac:dyDescent="0.2">
      <c r="E402" s="1"/>
    </row>
    <row r="403" spans="5:5" x14ac:dyDescent="0.2">
      <c r="E403" s="1"/>
    </row>
    <row r="404" spans="5:5" x14ac:dyDescent="0.2">
      <c r="E404" s="1"/>
    </row>
    <row r="405" spans="5:5" x14ac:dyDescent="0.2">
      <c r="E405" s="1"/>
    </row>
    <row r="406" spans="5:5" x14ac:dyDescent="0.2">
      <c r="E406" s="1"/>
    </row>
    <row r="407" spans="5:5" x14ac:dyDescent="0.2">
      <c r="E407" s="1"/>
    </row>
    <row r="408" spans="5:5" x14ac:dyDescent="0.2">
      <c r="E408" s="1"/>
    </row>
    <row r="409" spans="5:5" x14ac:dyDescent="0.2">
      <c r="E409" s="1"/>
    </row>
    <row r="410" spans="5:5" x14ac:dyDescent="0.2">
      <c r="E410" s="1"/>
    </row>
    <row r="411" spans="5:5" x14ac:dyDescent="0.2">
      <c r="E411" s="1"/>
    </row>
    <row r="412" spans="5:5" x14ac:dyDescent="0.2">
      <c r="E412" s="1"/>
    </row>
    <row r="413" spans="5:5" x14ac:dyDescent="0.2">
      <c r="E413" s="1"/>
    </row>
    <row r="414" spans="5:5" x14ac:dyDescent="0.2">
      <c r="E414" s="1"/>
    </row>
    <row r="415" spans="5:5" x14ac:dyDescent="0.2">
      <c r="E415" s="1"/>
    </row>
    <row r="416" spans="5:5" x14ac:dyDescent="0.2">
      <c r="E416" s="1"/>
    </row>
    <row r="417" spans="5:5" x14ac:dyDescent="0.2">
      <c r="E417" s="1"/>
    </row>
    <row r="418" spans="5:5" x14ac:dyDescent="0.2">
      <c r="E418" s="1"/>
    </row>
    <row r="419" spans="5:5" x14ac:dyDescent="0.2">
      <c r="E419" s="1"/>
    </row>
    <row r="420" spans="5:5" x14ac:dyDescent="0.2">
      <c r="E420" s="1"/>
    </row>
    <row r="421" spans="5:5" x14ac:dyDescent="0.2">
      <c r="E421" s="1"/>
    </row>
    <row r="422" spans="5:5" x14ac:dyDescent="0.2">
      <c r="E422" s="1"/>
    </row>
    <row r="423" spans="5:5" x14ac:dyDescent="0.2">
      <c r="E423" s="1"/>
    </row>
    <row r="424" spans="5:5" x14ac:dyDescent="0.2">
      <c r="E424" s="1"/>
    </row>
    <row r="425" spans="5:5" x14ac:dyDescent="0.2">
      <c r="E425" s="1"/>
    </row>
    <row r="426" spans="5:5" x14ac:dyDescent="0.2">
      <c r="E426" s="1"/>
    </row>
    <row r="427" spans="5:5" x14ac:dyDescent="0.2">
      <c r="E427" s="1"/>
    </row>
    <row r="428" spans="5:5" x14ac:dyDescent="0.2">
      <c r="E428" s="1"/>
    </row>
    <row r="429" spans="5:5" x14ac:dyDescent="0.2">
      <c r="E429" s="1"/>
    </row>
    <row r="430" spans="5:5" x14ac:dyDescent="0.2">
      <c r="E430" s="1"/>
    </row>
    <row r="431" spans="5:5" x14ac:dyDescent="0.2">
      <c r="E431" s="1"/>
    </row>
    <row r="432" spans="5:5" x14ac:dyDescent="0.2">
      <c r="E432" s="1"/>
    </row>
    <row r="433" spans="5:5" x14ac:dyDescent="0.2">
      <c r="E433" s="1"/>
    </row>
    <row r="434" spans="5:5" x14ac:dyDescent="0.2">
      <c r="E434" s="1"/>
    </row>
    <row r="435" spans="5:5" x14ac:dyDescent="0.2">
      <c r="E435" s="1"/>
    </row>
    <row r="436" spans="5:5" x14ac:dyDescent="0.2">
      <c r="E436" s="1"/>
    </row>
    <row r="437" spans="5:5" x14ac:dyDescent="0.2">
      <c r="E437" s="1"/>
    </row>
    <row r="438" spans="5:5" x14ac:dyDescent="0.2">
      <c r="E438" s="1"/>
    </row>
    <row r="439" spans="5:5" x14ac:dyDescent="0.2">
      <c r="E439" s="1"/>
    </row>
    <row r="440" spans="5:5" x14ac:dyDescent="0.2">
      <c r="E440" s="1"/>
    </row>
    <row r="441" spans="5:5" x14ac:dyDescent="0.2">
      <c r="E441" s="1"/>
    </row>
    <row r="442" spans="5:5" x14ac:dyDescent="0.2">
      <c r="E442" s="1"/>
    </row>
    <row r="443" spans="5:5" x14ac:dyDescent="0.2">
      <c r="E443" s="1"/>
    </row>
    <row r="444" spans="5:5" x14ac:dyDescent="0.2">
      <c r="E444" s="1"/>
    </row>
    <row r="445" spans="5:5" x14ac:dyDescent="0.2">
      <c r="E445" s="1"/>
    </row>
    <row r="446" spans="5:5" x14ac:dyDescent="0.2">
      <c r="E446" s="1"/>
    </row>
    <row r="447" spans="5:5" x14ac:dyDescent="0.2">
      <c r="E447" s="1"/>
    </row>
    <row r="448" spans="5:5" x14ac:dyDescent="0.2">
      <c r="E448" s="1"/>
    </row>
    <row r="449" spans="5:5" x14ac:dyDescent="0.2">
      <c r="E449" s="1"/>
    </row>
    <row r="450" spans="5:5" x14ac:dyDescent="0.2">
      <c r="E450" s="1"/>
    </row>
    <row r="451" spans="5:5" x14ac:dyDescent="0.2">
      <c r="E451" s="1"/>
    </row>
    <row r="452" spans="5:5" x14ac:dyDescent="0.2">
      <c r="E452" s="1"/>
    </row>
    <row r="453" spans="5:5" x14ac:dyDescent="0.2">
      <c r="E453" s="1"/>
    </row>
    <row r="454" spans="5:5" x14ac:dyDescent="0.2">
      <c r="E454" s="1"/>
    </row>
    <row r="455" spans="5:5" x14ac:dyDescent="0.2">
      <c r="E455" s="1"/>
    </row>
    <row r="456" spans="5:5" x14ac:dyDescent="0.2">
      <c r="E456" s="1"/>
    </row>
    <row r="457" spans="5:5" x14ac:dyDescent="0.2">
      <c r="E457" s="1"/>
    </row>
    <row r="458" spans="5:5" x14ac:dyDescent="0.2">
      <c r="E458" s="1"/>
    </row>
    <row r="459" spans="5:5" x14ac:dyDescent="0.2">
      <c r="E459" s="1"/>
    </row>
    <row r="460" spans="5:5" x14ac:dyDescent="0.2">
      <c r="E460" s="1"/>
    </row>
    <row r="461" spans="5:5" x14ac:dyDescent="0.2">
      <c r="E461" s="1"/>
    </row>
    <row r="462" spans="5:5" x14ac:dyDescent="0.2">
      <c r="E462" s="1"/>
    </row>
    <row r="463" spans="5:5" x14ac:dyDescent="0.2">
      <c r="E463" s="1"/>
    </row>
    <row r="464" spans="5:5" x14ac:dyDescent="0.2">
      <c r="E464" s="1"/>
    </row>
    <row r="465" spans="5:5" x14ac:dyDescent="0.2">
      <c r="E465" s="1"/>
    </row>
    <row r="466" spans="5:5" x14ac:dyDescent="0.2">
      <c r="E466" s="1"/>
    </row>
    <row r="467" spans="5:5" x14ac:dyDescent="0.2">
      <c r="E467" s="1"/>
    </row>
    <row r="468" spans="5:5" x14ac:dyDescent="0.2">
      <c r="E468" s="1"/>
    </row>
    <row r="469" spans="5:5" x14ac:dyDescent="0.2">
      <c r="E469" s="1"/>
    </row>
    <row r="470" spans="5:5" x14ac:dyDescent="0.2">
      <c r="E470" s="1"/>
    </row>
    <row r="471" spans="5:5" x14ac:dyDescent="0.2">
      <c r="E471" s="1"/>
    </row>
    <row r="472" spans="5:5" x14ac:dyDescent="0.2">
      <c r="E472" s="1"/>
    </row>
    <row r="473" spans="5:5" x14ac:dyDescent="0.2">
      <c r="E473" s="1"/>
    </row>
    <row r="474" spans="5:5" x14ac:dyDescent="0.2">
      <c r="E474" s="1"/>
    </row>
    <row r="475" spans="5:5" x14ac:dyDescent="0.2">
      <c r="E475" s="1"/>
    </row>
    <row r="476" spans="5:5" x14ac:dyDescent="0.2">
      <c r="E476" s="1"/>
    </row>
    <row r="477" spans="5:5" x14ac:dyDescent="0.2">
      <c r="E477" s="1"/>
    </row>
    <row r="478" spans="5:5" x14ac:dyDescent="0.2">
      <c r="E478" s="1"/>
    </row>
    <row r="479" spans="5:5" x14ac:dyDescent="0.2">
      <c r="E479" s="1"/>
    </row>
    <row r="480" spans="5:5" x14ac:dyDescent="0.2">
      <c r="E480" s="1"/>
    </row>
    <row r="481" spans="5:5" x14ac:dyDescent="0.2">
      <c r="E481" s="1"/>
    </row>
    <row r="482" spans="5:5" x14ac:dyDescent="0.2">
      <c r="E482" s="1"/>
    </row>
    <row r="483" spans="5:5" x14ac:dyDescent="0.2">
      <c r="E483" s="1"/>
    </row>
    <row r="484" spans="5:5" x14ac:dyDescent="0.2">
      <c r="E484" s="1"/>
    </row>
    <row r="485" spans="5:5" x14ac:dyDescent="0.2">
      <c r="E485" s="1"/>
    </row>
    <row r="486" spans="5:5" x14ac:dyDescent="0.2">
      <c r="E486" s="1"/>
    </row>
    <row r="487" spans="5:5" x14ac:dyDescent="0.2">
      <c r="E487" s="1"/>
    </row>
    <row r="488" spans="5:5" x14ac:dyDescent="0.2">
      <c r="E488" s="1"/>
    </row>
    <row r="489" spans="5:5" x14ac:dyDescent="0.2">
      <c r="E489" s="1"/>
    </row>
    <row r="490" spans="5:5" x14ac:dyDescent="0.2">
      <c r="E490" s="1"/>
    </row>
    <row r="491" spans="5:5" x14ac:dyDescent="0.2">
      <c r="E491" s="1"/>
    </row>
    <row r="492" spans="5:5" x14ac:dyDescent="0.2">
      <c r="E492" s="1"/>
    </row>
    <row r="493" spans="5:5" x14ac:dyDescent="0.2">
      <c r="E493" s="1"/>
    </row>
    <row r="494" spans="5:5" x14ac:dyDescent="0.2">
      <c r="E494" s="1"/>
    </row>
    <row r="495" spans="5:5" x14ac:dyDescent="0.2">
      <c r="E495" s="1"/>
    </row>
    <row r="496" spans="5:5" x14ac:dyDescent="0.2">
      <c r="E496" s="1"/>
    </row>
    <row r="497" spans="5:5" x14ac:dyDescent="0.2">
      <c r="E497" s="1"/>
    </row>
    <row r="498" spans="5:5" x14ac:dyDescent="0.2">
      <c r="E498" s="1"/>
    </row>
    <row r="499" spans="5:5" x14ac:dyDescent="0.2">
      <c r="E499" s="1"/>
    </row>
    <row r="500" spans="5:5" x14ac:dyDescent="0.2">
      <c r="E500" s="1"/>
    </row>
    <row r="501" spans="5:5" x14ac:dyDescent="0.2">
      <c r="E501" s="1"/>
    </row>
    <row r="502" spans="5:5" x14ac:dyDescent="0.2">
      <c r="E502" s="1"/>
    </row>
    <row r="503" spans="5:5" x14ac:dyDescent="0.2">
      <c r="E503" s="1"/>
    </row>
    <row r="504" spans="5:5" x14ac:dyDescent="0.2">
      <c r="E504" s="1"/>
    </row>
    <row r="505" spans="5:5" x14ac:dyDescent="0.2">
      <c r="E505" s="1"/>
    </row>
    <row r="506" spans="5:5" x14ac:dyDescent="0.2">
      <c r="E506" s="1"/>
    </row>
    <row r="507" spans="5:5" x14ac:dyDescent="0.2">
      <c r="E507" s="1"/>
    </row>
    <row r="508" spans="5:5" x14ac:dyDescent="0.2">
      <c r="E508" s="1"/>
    </row>
    <row r="509" spans="5:5" x14ac:dyDescent="0.2">
      <c r="E509" s="1"/>
    </row>
    <row r="510" spans="5:5" x14ac:dyDescent="0.2">
      <c r="E510" s="1"/>
    </row>
    <row r="511" spans="5:5" x14ac:dyDescent="0.2">
      <c r="E511" s="1"/>
    </row>
    <row r="512" spans="5:5" x14ac:dyDescent="0.2">
      <c r="E512" s="1"/>
    </row>
    <row r="513" spans="5:5" x14ac:dyDescent="0.2">
      <c r="E513" s="1"/>
    </row>
    <row r="514" spans="5:5" x14ac:dyDescent="0.2">
      <c r="E514" s="1"/>
    </row>
    <row r="515" spans="5:5" x14ac:dyDescent="0.2">
      <c r="E515" s="1"/>
    </row>
    <row r="516" spans="5:5" x14ac:dyDescent="0.2">
      <c r="E516" s="1"/>
    </row>
    <row r="517" spans="5:5" x14ac:dyDescent="0.2">
      <c r="E517" s="1"/>
    </row>
    <row r="518" spans="5:5" x14ac:dyDescent="0.2">
      <c r="E518" s="1"/>
    </row>
    <row r="519" spans="5:5" x14ac:dyDescent="0.2">
      <c r="E519" s="1"/>
    </row>
    <row r="520" spans="5:5" x14ac:dyDescent="0.2">
      <c r="E520" s="1"/>
    </row>
    <row r="521" spans="5:5" x14ac:dyDescent="0.2">
      <c r="E521" s="1"/>
    </row>
    <row r="522" spans="5:5" x14ac:dyDescent="0.2">
      <c r="E522" s="1"/>
    </row>
    <row r="523" spans="5:5" x14ac:dyDescent="0.2">
      <c r="E523" s="1"/>
    </row>
    <row r="524" spans="5:5" x14ac:dyDescent="0.2">
      <c r="E524" s="1"/>
    </row>
    <row r="525" spans="5:5" x14ac:dyDescent="0.2">
      <c r="E525" s="1"/>
    </row>
    <row r="526" spans="5:5" x14ac:dyDescent="0.2">
      <c r="E526" s="1"/>
    </row>
    <row r="527" spans="5:5" x14ac:dyDescent="0.2">
      <c r="E527" s="1"/>
    </row>
    <row r="528" spans="5:5" x14ac:dyDescent="0.2">
      <c r="E528" s="1"/>
    </row>
    <row r="529" spans="5:5" x14ac:dyDescent="0.2">
      <c r="E529" s="1"/>
    </row>
    <row r="530" spans="5:5" x14ac:dyDescent="0.2">
      <c r="E530" s="1"/>
    </row>
    <row r="531" spans="5:5" x14ac:dyDescent="0.2">
      <c r="E531" s="1"/>
    </row>
    <row r="532" spans="5:5" x14ac:dyDescent="0.2">
      <c r="E532" s="1"/>
    </row>
    <row r="533" spans="5:5" x14ac:dyDescent="0.2">
      <c r="E533" s="1"/>
    </row>
    <row r="534" spans="5:5" x14ac:dyDescent="0.2">
      <c r="E534" s="1"/>
    </row>
    <row r="535" spans="5:5" x14ac:dyDescent="0.2">
      <c r="E535" s="1"/>
    </row>
    <row r="536" spans="5:5" x14ac:dyDescent="0.2">
      <c r="E536" s="1"/>
    </row>
    <row r="537" spans="5:5" x14ac:dyDescent="0.2">
      <c r="E537" s="1"/>
    </row>
    <row r="538" spans="5:5" x14ac:dyDescent="0.2">
      <c r="E538" s="1"/>
    </row>
    <row r="539" spans="5:5" x14ac:dyDescent="0.2">
      <c r="E539" s="1"/>
    </row>
    <row r="540" spans="5:5" x14ac:dyDescent="0.2">
      <c r="E540" s="1"/>
    </row>
    <row r="541" spans="5:5" x14ac:dyDescent="0.2">
      <c r="E541" s="1"/>
    </row>
    <row r="542" spans="5:5" x14ac:dyDescent="0.2">
      <c r="E542" s="1"/>
    </row>
    <row r="543" spans="5:5" x14ac:dyDescent="0.2">
      <c r="E543" s="1"/>
    </row>
    <row r="544" spans="5:5" x14ac:dyDescent="0.2">
      <c r="E544" s="1"/>
    </row>
    <row r="545" spans="5:5" x14ac:dyDescent="0.2">
      <c r="E545" s="1"/>
    </row>
    <row r="546" spans="5:5" x14ac:dyDescent="0.2">
      <c r="E546" s="1"/>
    </row>
    <row r="547" spans="5:5" x14ac:dyDescent="0.2">
      <c r="E547" s="1"/>
    </row>
    <row r="548" spans="5:5" x14ac:dyDescent="0.2">
      <c r="E548" s="1"/>
    </row>
    <row r="549" spans="5:5" x14ac:dyDescent="0.2">
      <c r="E549" s="1"/>
    </row>
    <row r="550" spans="5:5" x14ac:dyDescent="0.2">
      <c r="E550" s="1"/>
    </row>
    <row r="551" spans="5:5" x14ac:dyDescent="0.2">
      <c r="E551" s="1"/>
    </row>
    <row r="552" spans="5:5" x14ac:dyDescent="0.2">
      <c r="E552" s="1"/>
    </row>
    <row r="553" spans="5:5" x14ac:dyDescent="0.2">
      <c r="E553" s="1"/>
    </row>
    <row r="554" spans="5:5" x14ac:dyDescent="0.2">
      <c r="E554" s="1"/>
    </row>
    <row r="555" spans="5:5" x14ac:dyDescent="0.2">
      <c r="E555" s="1"/>
    </row>
    <row r="556" spans="5:5" x14ac:dyDescent="0.2">
      <c r="E556" s="1"/>
    </row>
    <row r="557" spans="5:5" x14ac:dyDescent="0.2">
      <c r="E557" s="1"/>
    </row>
    <row r="558" spans="5:5" x14ac:dyDescent="0.2">
      <c r="E558" s="1"/>
    </row>
    <row r="559" spans="5:5" x14ac:dyDescent="0.2">
      <c r="E559" s="1"/>
    </row>
    <row r="560" spans="5:5" x14ac:dyDescent="0.2">
      <c r="E560" s="1"/>
    </row>
    <row r="561" spans="5:5" x14ac:dyDescent="0.2">
      <c r="E561" s="1"/>
    </row>
    <row r="562" spans="5:5" x14ac:dyDescent="0.2">
      <c r="E562" s="1"/>
    </row>
    <row r="563" spans="5:5" x14ac:dyDescent="0.2">
      <c r="E563" s="1"/>
    </row>
    <row r="564" spans="5:5" x14ac:dyDescent="0.2">
      <c r="E564" s="1"/>
    </row>
    <row r="565" spans="5:5" x14ac:dyDescent="0.2">
      <c r="E565" s="1"/>
    </row>
    <row r="566" spans="5:5" x14ac:dyDescent="0.2">
      <c r="E566" s="1"/>
    </row>
    <row r="567" spans="5:5" x14ac:dyDescent="0.2">
      <c r="E567" s="1"/>
    </row>
    <row r="568" spans="5:5" x14ac:dyDescent="0.2">
      <c r="E568" s="1"/>
    </row>
    <row r="569" spans="5:5" x14ac:dyDescent="0.2">
      <c r="E569" s="1"/>
    </row>
    <row r="570" spans="5:5" x14ac:dyDescent="0.2">
      <c r="E570" s="1"/>
    </row>
    <row r="571" spans="5:5" x14ac:dyDescent="0.2">
      <c r="E571" s="1"/>
    </row>
    <row r="572" spans="5:5" x14ac:dyDescent="0.2">
      <c r="E572" s="1"/>
    </row>
    <row r="573" spans="5:5" x14ac:dyDescent="0.2">
      <c r="E573" s="1"/>
    </row>
    <row r="574" spans="5:5" x14ac:dyDescent="0.2">
      <c r="E574" s="1"/>
    </row>
    <row r="575" spans="5:5" x14ac:dyDescent="0.2">
      <c r="E575" s="1"/>
    </row>
    <row r="576" spans="5:5" x14ac:dyDescent="0.2">
      <c r="E576" s="1"/>
    </row>
    <row r="577" spans="5:5" x14ac:dyDescent="0.2">
      <c r="E577" s="1"/>
    </row>
    <row r="578" spans="5:5" x14ac:dyDescent="0.2">
      <c r="E578" s="1"/>
    </row>
    <row r="579" spans="5:5" x14ac:dyDescent="0.2">
      <c r="E579" s="1"/>
    </row>
    <row r="580" spans="5:5" x14ac:dyDescent="0.2">
      <c r="E580" s="1"/>
    </row>
    <row r="581" spans="5:5" x14ac:dyDescent="0.2">
      <c r="E581" s="1"/>
    </row>
    <row r="582" spans="5:5" x14ac:dyDescent="0.2">
      <c r="E582" s="1"/>
    </row>
    <row r="583" spans="5:5" x14ac:dyDescent="0.2">
      <c r="E583" s="1"/>
    </row>
    <row r="584" spans="5:5" x14ac:dyDescent="0.2">
      <c r="E584" s="1"/>
    </row>
    <row r="585" spans="5:5" x14ac:dyDescent="0.2">
      <c r="E585" s="1"/>
    </row>
    <row r="586" spans="5:5" x14ac:dyDescent="0.2">
      <c r="E586" s="1"/>
    </row>
    <row r="587" spans="5:5" x14ac:dyDescent="0.2">
      <c r="E587" s="1"/>
    </row>
    <row r="588" spans="5:5" x14ac:dyDescent="0.2">
      <c r="E588" s="1"/>
    </row>
    <row r="589" spans="5:5" x14ac:dyDescent="0.2">
      <c r="E589" s="1"/>
    </row>
    <row r="590" spans="5:5" x14ac:dyDescent="0.2">
      <c r="E590" s="1"/>
    </row>
    <row r="591" spans="5:5" x14ac:dyDescent="0.2">
      <c r="E591" s="1"/>
    </row>
    <row r="592" spans="5:5" x14ac:dyDescent="0.2">
      <c r="E592" s="1"/>
    </row>
    <row r="593" spans="5:5" x14ac:dyDescent="0.2">
      <c r="E593" s="1"/>
    </row>
    <row r="594" spans="5:5" x14ac:dyDescent="0.2">
      <c r="E594" s="1"/>
    </row>
    <row r="595" spans="5:5" x14ac:dyDescent="0.2">
      <c r="E595" s="1"/>
    </row>
    <row r="596" spans="5:5" x14ac:dyDescent="0.2">
      <c r="E596" s="1"/>
    </row>
    <row r="597" spans="5:5" x14ac:dyDescent="0.2">
      <c r="E597" s="1"/>
    </row>
    <row r="598" spans="5:5" x14ac:dyDescent="0.2">
      <c r="E598" s="1"/>
    </row>
    <row r="599" spans="5:5" x14ac:dyDescent="0.2">
      <c r="E599" s="1"/>
    </row>
    <row r="600" spans="5:5" x14ac:dyDescent="0.2">
      <c r="E600" s="1"/>
    </row>
    <row r="601" spans="5:5" x14ac:dyDescent="0.2">
      <c r="E601" s="1"/>
    </row>
    <row r="602" spans="5:5" x14ac:dyDescent="0.2">
      <c r="E602" s="1"/>
    </row>
    <row r="603" spans="5:5" x14ac:dyDescent="0.2">
      <c r="E603" s="1"/>
    </row>
    <row r="604" spans="5:5" x14ac:dyDescent="0.2">
      <c r="E604" s="1"/>
    </row>
    <row r="605" spans="5:5" x14ac:dyDescent="0.2">
      <c r="E605" s="1"/>
    </row>
    <row r="606" spans="5:5" x14ac:dyDescent="0.2">
      <c r="E606" s="1"/>
    </row>
    <row r="607" spans="5:5" x14ac:dyDescent="0.2">
      <c r="E607" s="1"/>
    </row>
    <row r="608" spans="5:5" x14ac:dyDescent="0.2">
      <c r="E608" s="1"/>
    </row>
    <row r="609" spans="5:5" x14ac:dyDescent="0.2">
      <c r="E609" s="1"/>
    </row>
    <row r="610" spans="5:5" x14ac:dyDescent="0.2">
      <c r="E610" s="1"/>
    </row>
    <row r="611" spans="5:5" x14ac:dyDescent="0.2">
      <c r="E611" s="1"/>
    </row>
    <row r="612" spans="5:5" x14ac:dyDescent="0.2">
      <c r="E612" s="1"/>
    </row>
    <row r="613" spans="5:5" x14ac:dyDescent="0.2">
      <c r="E613" s="1"/>
    </row>
    <row r="614" spans="5:5" x14ac:dyDescent="0.2">
      <c r="E614" s="1"/>
    </row>
    <row r="615" spans="5:5" x14ac:dyDescent="0.2">
      <c r="E615" s="1"/>
    </row>
    <row r="616" spans="5:5" x14ac:dyDescent="0.2">
      <c r="E616" s="1"/>
    </row>
    <row r="617" spans="5:5" x14ac:dyDescent="0.2">
      <c r="E617" s="1"/>
    </row>
    <row r="618" spans="5:5" x14ac:dyDescent="0.2">
      <c r="E618" s="1"/>
    </row>
    <row r="619" spans="5:5" x14ac:dyDescent="0.2">
      <c r="E619" s="1"/>
    </row>
    <row r="620" spans="5:5" x14ac:dyDescent="0.2">
      <c r="E620" s="1"/>
    </row>
    <row r="621" spans="5:5" x14ac:dyDescent="0.2">
      <c r="E621" s="1"/>
    </row>
    <row r="622" spans="5:5" x14ac:dyDescent="0.2">
      <c r="E622" s="1"/>
    </row>
    <row r="623" spans="5:5" x14ac:dyDescent="0.2">
      <c r="E623" s="1"/>
    </row>
    <row r="624" spans="5:5" x14ac:dyDescent="0.2">
      <c r="E624" s="1"/>
    </row>
    <row r="625" spans="5:5" x14ac:dyDescent="0.2">
      <c r="E625" s="1"/>
    </row>
    <row r="626" spans="5:5" x14ac:dyDescent="0.2">
      <c r="E626" s="1"/>
    </row>
    <row r="627" spans="5:5" x14ac:dyDescent="0.2">
      <c r="E627" s="1"/>
    </row>
    <row r="628" spans="5:5" x14ac:dyDescent="0.2">
      <c r="E628" s="1"/>
    </row>
    <row r="629" spans="5:5" x14ac:dyDescent="0.2">
      <c r="E629" s="1"/>
    </row>
    <row r="630" spans="5:5" x14ac:dyDescent="0.2">
      <c r="E630" s="1"/>
    </row>
    <row r="631" spans="5:5" x14ac:dyDescent="0.2">
      <c r="E631" s="1"/>
    </row>
    <row r="632" spans="5:5" x14ac:dyDescent="0.2">
      <c r="E632" s="1"/>
    </row>
    <row r="633" spans="5:5" x14ac:dyDescent="0.2">
      <c r="E633" s="1"/>
    </row>
    <row r="634" spans="5:5" x14ac:dyDescent="0.2">
      <c r="E634" s="1"/>
    </row>
    <row r="635" spans="5:5" x14ac:dyDescent="0.2">
      <c r="E635" s="1"/>
    </row>
    <row r="636" spans="5:5" x14ac:dyDescent="0.2">
      <c r="E636" s="1"/>
    </row>
    <row r="637" spans="5:5" x14ac:dyDescent="0.2">
      <c r="E637" s="1"/>
    </row>
    <row r="638" spans="5:5" x14ac:dyDescent="0.2">
      <c r="E638" s="1"/>
    </row>
    <row r="639" spans="5:5" x14ac:dyDescent="0.2">
      <c r="E639" s="1"/>
    </row>
    <row r="640" spans="5:5" x14ac:dyDescent="0.2">
      <c r="E640" s="1"/>
    </row>
    <row r="641" spans="5:5" x14ac:dyDescent="0.2">
      <c r="E641" s="1"/>
    </row>
    <row r="642" spans="5:5" x14ac:dyDescent="0.2">
      <c r="E642" s="1"/>
    </row>
    <row r="643" spans="5:5" x14ac:dyDescent="0.2">
      <c r="E643" s="1"/>
    </row>
    <row r="644" spans="5:5" x14ac:dyDescent="0.2">
      <c r="E644" s="1"/>
    </row>
    <row r="645" spans="5:5" x14ac:dyDescent="0.2">
      <c r="E645" s="1"/>
    </row>
    <row r="646" spans="5:5" x14ac:dyDescent="0.2">
      <c r="E646" s="1"/>
    </row>
    <row r="647" spans="5:5" x14ac:dyDescent="0.2">
      <c r="E647" s="1"/>
    </row>
    <row r="648" spans="5:5" x14ac:dyDescent="0.2">
      <c r="E648" s="1"/>
    </row>
    <row r="649" spans="5:5" x14ac:dyDescent="0.2">
      <c r="E649" s="1"/>
    </row>
    <row r="650" spans="5:5" x14ac:dyDescent="0.2">
      <c r="E650" s="1"/>
    </row>
    <row r="651" spans="5:5" x14ac:dyDescent="0.2">
      <c r="E651" s="1"/>
    </row>
    <row r="652" spans="5:5" x14ac:dyDescent="0.2">
      <c r="E652" s="1"/>
    </row>
    <row r="653" spans="5:5" x14ac:dyDescent="0.2">
      <c r="E653" s="1"/>
    </row>
    <row r="654" spans="5:5" x14ac:dyDescent="0.2">
      <c r="E654" s="1"/>
    </row>
    <row r="655" spans="5:5" x14ac:dyDescent="0.2">
      <c r="E655" s="1"/>
    </row>
    <row r="656" spans="5:5" x14ac:dyDescent="0.2">
      <c r="E656" s="1"/>
    </row>
    <row r="657" spans="5:5" x14ac:dyDescent="0.2">
      <c r="E657" s="1"/>
    </row>
    <row r="658" spans="5:5" x14ac:dyDescent="0.2">
      <c r="E658" s="1"/>
    </row>
    <row r="659" spans="5:5" x14ac:dyDescent="0.2">
      <c r="E659" s="1"/>
    </row>
    <row r="660" spans="5:5" x14ac:dyDescent="0.2">
      <c r="E660" s="1"/>
    </row>
    <row r="661" spans="5:5" x14ac:dyDescent="0.2">
      <c r="E661" s="1"/>
    </row>
    <row r="662" spans="5:5" x14ac:dyDescent="0.2">
      <c r="E662" s="1"/>
    </row>
    <row r="663" spans="5:5" x14ac:dyDescent="0.2">
      <c r="E663" s="1"/>
    </row>
    <row r="664" spans="5:5" x14ac:dyDescent="0.2">
      <c r="E664" s="1"/>
    </row>
    <row r="665" spans="5:5" x14ac:dyDescent="0.2">
      <c r="E665" s="1"/>
    </row>
    <row r="666" spans="5:5" x14ac:dyDescent="0.2">
      <c r="E666" s="1"/>
    </row>
    <row r="667" spans="5:5" x14ac:dyDescent="0.2">
      <c r="E667" s="1"/>
    </row>
    <row r="668" spans="5:5" x14ac:dyDescent="0.2">
      <c r="E668" s="1"/>
    </row>
    <row r="669" spans="5:5" x14ac:dyDescent="0.2">
      <c r="E669" s="1"/>
    </row>
    <row r="670" spans="5:5" x14ac:dyDescent="0.2">
      <c r="E670" s="1"/>
    </row>
    <row r="671" spans="5:5" x14ac:dyDescent="0.2">
      <c r="E671" s="1"/>
    </row>
    <row r="672" spans="5:5" x14ac:dyDescent="0.2">
      <c r="E672" s="1"/>
    </row>
    <row r="673" spans="5:5" x14ac:dyDescent="0.2">
      <c r="E673" s="1"/>
    </row>
    <row r="674" spans="5:5" x14ac:dyDescent="0.2">
      <c r="E674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 enableFormatConditionsCalculation="0"/>
  <dimension ref="A1:Q100"/>
  <sheetViews>
    <sheetView workbookViewId="0">
      <selection activeCell="N1" sqref="N1"/>
    </sheetView>
  </sheetViews>
  <sheetFormatPr baseColWidth="10" defaultColWidth="8.83203125" defaultRowHeight="15" x14ac:dyDescent="0.2"/>
  <sheetData>
    <row r="1" spans="1:17" x14ac:dyDescent="0.2">
      <c r="A1" s="3" t="s">
        <v>1328</v>
      </c>
      <c r="B1" s="3" t="s">
        <v>1345</v>
      </c>
      <c r="D1" s="3" t="s">
        <v>1329</v>
      </c>
      <c r="E1" s="3" t="s">
        <v>1344</v>
      </c>
      <c r="G1" s="3" t="s">
        <v>194</v>
      </c>
      <c r="J1" s="3" t="s">
        <v>193</v>
      </c>
      <c r="M1" s="3" t="s">
        <v>1341</v>
      </c>
      <c r="N1" s="3" t="s">
        <v>1343</v>
      </c>
      <c r="P1" s="3" t="s">
        <v>122</v>
      </c>
      <c r="Q1" s="3" t="s">
        <v>1342</v>
      </c>
    </row>
    <row r="2" spans="1:17" x14ac:dyDescent="0.2">
      <c r="A2" t="str">
        <f t="array" ref="A2:A10">IFERROR(INDEX(Sheet1!$D$19:$D$27,SMALL(IF(((Sheet1!$I$19:$J$27="concentration")*(Sheet1!$C$19:$C$27&lt;=99)),ROW(Sheet1!$I$19:$J$27)-ROW(Sheet1!$I$19)+1),ROW()-1),1),"")</f>
        <v/>
      </c>
      <c r="B2" t="str">
        <f t="array" ref="B2:B10">IFERROR(INDEX(Sheet1!$H$19:$H$27,SMALL(IF(((Sheet1!$I$19:$J$27="concentration")*(Sheet1!$C$19:$C$27&lt;=99)),ROW(Sheet1!$I$19:$J$27)-ROW(Sheet1!$I$19)+1),ROW()-1),1),"")</f>
        <v/>
      </c>
      <c r="D2" t="str">
        <f t="array" ref="D2:D10">IFERROR(INDEX(Sheet1!$D$19:$D$27,SMALL(IF(((Sheet1!$I$19:$J$27="concentration")*(Sheet1!$C$19:$C$27&gt;99)),ROW(Sheet1!$I$19:$J$27)-ROW(Sheet1!$I$19)+1),ROW()-1),1),"")</f>
        <v/>
      </c>
      <c r="E2" t="str">
        <f t="array" ref="E2:E10">IFERROR(INDEX(Sheet1!$H$19:$H$27,SMALL(IF(((Sheet1!$I$19:$J$27="concentration")*(Sheet1!$C$19:$C$27&gt;99)),ROW(Sheet1!$I$19:$J$27)-ROW(Sheet1!$I$19)+1),ROW()-1),1),"")</f>
        <v/>
      </c>
      <c r="G2" t="str">
        <f t="array" ref="G2:G10">IFERROR(INDEX(Sheet1!$D$19:$D$27,SMALL(IF(ISNUMBER(MATCH(Sheet1!$B$19:$B$27,ASLIST,0)),ROW(Sheet1!$D$19:$D$27)-ROW(Sheet1!$D$19)+1,IF(ISNUMBER(MATCH(Sheet1!$D$19:$D$27,SINGLEAS,0)),ROW(Sheet1!$D$19:$D$27)-ROW(Sheet1!$D$19)+1)),ROW()-1),1),"")</f>
        <v/>
      </c>
      <c r="H2" t="str">
        <f t="array" ref="H2:H10">IFERROR(INDEX(Sheet1!$H$19:$H$27,SMALL(IF(ISNUMBER(MATCH(Sheet1!$B$19:$B$27,ASLIST,0)),ROW(Sheet1!$D$19:$D$27)-ROW(Sheet1!$D$19)+1,IF(ISNUMBER(MATCH(Sheet1!$D$19:$D$27,SINGLEAS,0)),ROW(Sheet1!$D$19:$D$27)-ROW(Sheet1!$D$19)+1)),ROW()-1),1),"")</f>
        <v/>
      </c>
      <c r="J2" t="str">
        <f t="array" ref="J2:J10">IFERROR(INDEX(Sheet1!$D$19:$D$27,SMALL(IF((Sheet1!$B$19:$B$27&lt;&gt;"JMC")*(Sheet1!$B$19:$B$27&lt;&gt;""),ROW(Sheet1!$B$19:$B$27)-ROW(Sheet1!$B$19)+1),ROW()-1),1),"")</f>
        <v/>
      </c>
      <c r="K2" t="str">
        <f t="array" ref="K2:K10">IFERROR(INDEX(Sheet1!$H$19:$H$27,SMALL(IF((Sheet1!$B$19:$B$27&lt;&gt;"JMC")*(Sheet1!$B$19:$B$27&lt;&gt;""),ROW(Sheet1!$B$19:$B$27)-ROW(Sheet1!$B$19)+1),ROW()-1),1),"")</f>
        <v/>
      </c>
      <c r="M2" t="str">
        <f t="array" ref="M2:M10">IFERROR(INDEX(Sheet1!$D$19:$D$27,SMALL(IF((Sheet1!$C$19:$C$27&gt;99)*(Sheet1!$C$19:$C$27&lt;&gt;"0--"),ROW(Sheet1!$I$19:$J$27)-ROW(Sheet1!$I$19)+1),ROW()-1),1),"")</f>
        <v/>
      </c>
      <c r="N2" t="str">
        <f t="array" ref="N2:N10">IFERROR(INDEX(Sheet1!$H$19:$H$27,SMALL(IF((Sheet1!$C$19:$C$27&gt;99)*(Sheet1!$C$19:$C$27&lt;&gt;"0--"),ROW(Sheet1!$I$19:$J$27)-ROW(Sheet1!$I$19)+1),ROW()-1),1),"")</f>
        <v/>
      </c>
      <c r="P2" t="str">
        <f t="array" ref="P2:P10">IFERROR(INDEX(Sheet1!$D$19:$D$27,SMALL(IF(Sheet1!$B$19:$B$27="HONR",ROW(Sheet1!$B$19:$B$27)-ROW(Sheet1!$B$19)+1),ROW()-1),1),"")</f>
        <v/>
      </c>
      <c r="Q2" t="str">
        <f t="array" ref="Q2:Q10">IFERROR(INDEX(Sheet1!$H$19:$H$27,SMALL(IF(Sheet1!$B$19:$B$27="HONR",ROW(Sheet1!$B$19:$B$27)-ROW(Sheet1!$B$19)+1),ROW()-1),1),"")</f>
        <v/>
      </c>
    </row>
    <row r="3" spans="1:17" x14ac:dyDescent="0.2">
      <c r="A3" t="str">
        <v/>
      </c>
      <c r="B3" t="str">
        <v/>
      </c>
      <c r="D3" t="str">
        <v/>
      </c>
      <c r="E3" t="str">
        <v/>
      </c>
      <c r="G3" t="str">
        <v/>
      </c>
      <c r="H3" t="str">
        <v/>
      </c>
      <c r="J3" t="str">
        <v/>
      </c>
      <c r="K3" t="str">
        <v/>
      </c>
      <c r="M3" t="str">
        <v/>
      </c>
      <c r="N3" t="str">
        <v/>
      </c>
      <c r="P3" t="str">
        <v/>
      </c>
      <c r="Q3" t="str">
        <v/>
      </c>
    </row>
    <row r="4" spans="1:17" x14ac:dyDescent="0.2">
      <c r="A4" t="str">
        <v/>
      </c>
      <c r="B4" t="str">
        <v/>
      </c>
      <c r="D4" t="str">
        <v/>
      </c>
      <c r="E4" t="str">
        <v/>
      </c>
      <c r="G4" t="str">
        <v/>
      </c>
      <c r="H4" t="str">
        <v/>
      </c>
      <c r="J4" t="str">
        <v/>
      </c>
      <c r="K4" t="str">
        <v/>
      </c>
      <c r="M4" t="str">
        <v/>
      </c>
      <c r="N4" t="str">
        <v/>
      </c>
      <c r="P4" t="str">
        <v/>
      </c>
      <c r="Q4" t="str">
        <v/>
      </c>
    </row>
    <row r="5" spans="1:17" x14ac:dyDescent="0.2">
      <c r="A5" t="str">
        <v/>
      </c>
      <c r="B5" t="str">
        <v/>
      </c>
      <c r="D5" t="str">
        <v/>
      </c>
      <c r="E5" t="str">
        <v/>
      </c>
      <c r="G5" t="str">
        <v/>
      </c>
      <c r="H5" t="str">
        <v/>
      </c>
      <c r="J5" t="str">
        <v/>
      </c>
      <c r="K5" t="str">
        <v/>
      </c>
      <c r="M5" t="str">
        <v/>
      </c>
      <c r="N5" t="str">
        <v/>
      </c>
      <c r="P5" t="str">
        <v/>
      </c>
      <c r="Q5" t="str">
        <v/>
      </c>
    </row>
    <row r="6" spans="1:17" x14ac:dyDescent="0.2">
      <c r="A6" t="str">
        <v/>
      </c>
      <c r="B6" t="str">
        <v/>
      </c>
      <c r="D6" t="str">
        <v/>
      </c>
      <c r="E6" t="str">
        <v/>
      </c>
      <c r="G6" t="str">
        <v/>
      </c>
      <c r="H6" t="str">
        <v/>
      </c>
      <c r="J6" t="str">
        <v/>
      </c>
      <c r="K6" t="str">
        <v/>
      </c>
      <c r="M6" t="str">
        <v/>
      </c>
      <c r="N6" t="str">
        <v/>
      </c>
      <c r="P6" t="str">
        <v/>
      </c>
      <c r="Q6" t="str">
        <v/>
      </c>
    </row>
    <row r="7" spans="1:17" x14ac:dyDescent="0.2">
      <c r="A7" t="str">
        <v/>
      </c>
      <c r="B7" t="str">
        <v/>
      </c>
      <c r="D7" t="str">
        <v/>
      </c>
      <c r="E7" t="str">
        <v/>
      </c>
      <c r="G7" t="str">
        <v/>
      </c>
      <c r="H7" t="str">
        <v/>
      </c>
      <c r="J7" t="str">
        <v/>
      </c>
      <c r="K7" t="str">
        <v/>
      </c>
      <c r="M7" t="str">
        <v/>
      </c>
      <c r="N7" t="str">
        <v/>
      </c>
      <c r="P7" t="str">
        <v/>
      </c>
      <c r="Q7" t="str">
        <v/>
      </c>
    </row>
    <row r="8" spans="1:17" x14ac:dyDescent="0.2">
      <c r="A8" t="str">
        <v/>
      </c>
      <c r="B8" t="str">
        <v/>
      </c>
      <c r="D8" t="str">
        <v/>
      </c>
      <c r="E8" t="str">
        <v/>
      </c>
      <c r="G8" t="str">
        <v/>
      </c>
      <c r="H8" t="str">
        <v/>
      </c>
      <c r="J8" t="str">
        <v/>
      </c>
      <c r="K8" t="str">
        <v/>
      </c>
      <c r="M8" t="str">
        <v/>
      </c>
      <c r="N8" t="str">
        <v/>
      </c>
      <c r="P8" t="str">
        <v/>
      </c>
      <c r="Q8" t="str">
        <v/>
      </c>
    </row>
    <row r="9" spans="1:17" x14ac:dyDescent="0.2">
      <c r="A9" t="str">
        <v/>
      </c>
      <c r="B9" t="str">
        <v/>
      </c>
      <c r="D9" t="str">
        <v/>
      </c>
      <c r="E9" t="str">
        <v/>
      </c>
      <c r="G9" t="str">
        <v/>
      </c>
      <c r="H9" t="str">
        <v/>
      </c>
      <c r="J9" t="str">
        <v/>
      </c>
      <c r="K9" t="str">
        <v/>
      </c>
      <c r="M9" t="str">
        <v/>
      </c>
      <c r="N9" t="str">
        <v/>
      </c>
      <c r="P9" t="str">
        <v/>
      </c>
      <c r="Q9" t="str">
        <v/>
      </c>
    </row>
    <row r="10" spans="1:17" x14ac:dyDescent="0.2">
      <c r="A10" t="str">
        <v/>
      </c>
      <c r="B10" t="str">
        <v/>
      </c>
      <c r="D10" t="str">
        <v/>
      </c>
      <c r="E10" t="str">
        <v/>
      </c>
      <c r="G10" t="str">
        <v/>
      </c>
      <c r="H10" t="str">
        <v/>
      </c>
      <c r="J10" t="str">
        <v/>
      </c>
      <c r="K10" t="str">
        <v/>
      </c>
      <c r="M10" t="str">
        <v/>
      </c>
      <c r="N10" t="str">
        <v/>
      </c>
      <c r="P10" t="str">
        <v/>
      </c>
      <c r="Q10" t="str">
        <v/>
      </c>
    </row>
    <row r="11" spans="1:17" x14ac:dyDescent="0.2">
      <c r="A11" t="str">
        <f t="array" ref="A11:A19">IFERROR(INDEX(Sheet1!$D$34:$D$42,SMALL(IF(((Sheet1!$I$34:$J$42="concentration")*(Sheet1!$C$34:$C$42&lt;=99)),ROW(Sheet1!$I$34:$J$42)-ROW(Sheet1!$I$34)+1),ROW()-10),1),"")</f>
        <v/>
      </c>
      <c r="B11" t="str">
        <f t="array" ref="B11:B19">IFERROR(INDEX(Sheet1!$H$34:$H$42,SMALL(IF(((Sheet1!$I$34:$J$42="concentration")*(Sheet1!$C$34:$C$42&lt;=99)),ROW(Sheet1!$I$34:$J$42)-ROW(Sheet1!$I$34)+1),ROW()-10),1),"")</f>
        <v/>
      </c>
      <c r="D11" t="str">
        <f t="array" ref="D11:D19">IFERROR(INDEX(Sheet1!$D$34:$D$42,SMALL(IF(((Sheet1!$I$34:$J$42="concentration")*(Sheet1!$C$34:$C$42&gt;99)),ROW(Sheet1!$I$34:$J$42)-ROW(Sheet1!$I$34)+1),ROW()-10),1),"")</f>
        <v/>
      </c>
      <c r="E11" t="str">
        <f t="array" ref="E11:E19">IFERROR(INDEX(Sheet1!$H$34:$H$42,SMALL(IF(((Sheet1!$I$34:$J$42="concentration")*(Sheet1!$C$34:$C$42&gt;99)),ROW(Sheet1!$I$34:$J$42)-ROW(Sheet1!$I$34)+1),ROW()-10),1),"")</f>
        <v/>
      </c>
      <c r="G11" t="str">
        <f t="array" ref="G11:G19">IFERROR(INDEX(Sheet1!$D$34:$D$42,SMALL(IF(ISNUMBER(MATCH(Sheet1!$B$34:$B$42,ASLIST,0)),ROW(Sheet1!$D$34:$D$42)-ROW(Sheet1!$D$34)+1,IF(ISNUMBER(MATCH(Sheet1!$D$34:$D$42,SINGLEAS,0)),ROW(Sheet1!$D$34:$D$42)-ROW(Sheet1!$D$34)+1)),ROW()-10),1),"")</f>
        <v/>
      </c>
      <c r="H11" t="str">
        <f t="array" ref="H11:H19">IFERROR(INDEX(Sheet1!$H$34:$H$42,SMALL(IF(ISNUMBER(MATCH(Sheet1!$B$34:$B$42,ASLIST,0)),ROW(Sheet1!$D$34:$D$42)-ROW(Sheet1!$D$34)+1,IF(ISNUMBER(MATCH(Sheet1!$D$34:$D$42,SINGLEAS,0)),ROW(Sheet1!$D$34:$D$42)-ROW(Sheet1!$D$34)+1)),ROW()-10),1),"")</f>
        <v/>
      </c>
      <c r="J11" t="str">
        <f t="array" ref="J11:J19">IFERROR(INDEX(Sheet1!$D$34:$D$42,SMALL(IF((Sheet1!$B$34:$B$42&lt;&gt;"JMC")*(Sheet1!$B$34:$B$42&lt;&gt;""),ROW(Sheet1!$B$34:$B$42)-ROW(Sheet1!$B$34)+1),ROW()-10),1),"")</f>
        <v/>
      </c>
      <c r="K11" t="str">
        <f t="array" ref="K11:K19">IFERROR(INDEX(Sheet1!$H$34:$H$42,SMALL(IF((Sheet1!$B$34:$B$42&lt;&gt;"JMC")*(Sheet1!$B$34:$B$42&lt;&gt;""),ROW(Sheet1!$B$34:$B$42)-ROW(Sheet1!$B$34)+1),ROW()-10),1),"")</f>
        <v/>
      </c>
      <c r="M11" t="str">
        <f t="array" ref="M11:M19">IFERROR(INDEX(Sheet1!$D$34:$D$42,SMALL(IF((Sheet1!$C$34:$C$42&gt;99)*(Sheet1!$C$34:$C$42&lt;&gt;"0--"),ROW(Sheet1!$I$34:$J$42)-ROW(Sheet1!$I$34)+1),ROW()-10),1),"")</f>
        <v/>
      </c>
      <c r="N11" t="str">
        <f t="array" ref="N11:N19">IFERROR(INDEX(Sheet1!$H$34:$H$42,SMALL(IF((Sheet1!$C$34:$C$42&gt;99)*(Sheet1!$C$34:$C$42&lt;&gt;"0--"),ROW(Sheet1!$I$34:$J$42)-ROW(Sheet1!$I$34)+1),ROW()-10),1),"")</f>
        <v/>
      </c>
      <c r="P11" t="str">
        <f t="array" ref="P11:P19">IFERROR(INDEX(Sheet1!$D$34:$D$42,SMALL(IF(Sheet1!$B$34:$B$42="HONR",ROW(Sheet1!$B$34:$B$42)-ROW(Sheet1!$B$34)+1),ROW()-10),1),"")</f>
        <v/>
      </c>
      <c r="Q11" t="str">
        <f t="array" ref="Q11:Q19">IFERROR(INDEX(Sheet1!$H$34:$H$42,SMALL(IF(Sheet1!$B$34:$B$42="HONR",ROW(Sheet1!$B$34:$B$42)-ROW(Sheet1!$B$34)+1),ROW()-10),1),"")</f>
        <v/>
      </c>
    </row>
    <row r="12" spans="1:17" x14ac:dyDescent="0.2">
      <c r="A12" t="str">
        <v/>
      </c>
      <c r="B12" t="str">
        <v/>
      </c>
      <c r="D12" t="str">
        <v/>
      </c>
      <c r="E12" t="str">
        <v/>
      </c>
      <c r="G12" t="str">
        <v/>
      </c>
      <c r="H12" t="str">
        <v/>
      </c>
      <c r="J12" t="str">
        <v/>
      </c>
      <c r="K12" t="str">
        <v/>
      </c>
      <c r="M12" t="str">
        <v/>
      </c>
      <c r="N12" t="str">
        <v/>
      </c>
      <c r="P12" t="str">
        <v/>
      </c>
      <c r="Q12" t="str">
        <v/>
      </c>
    </row>
    <row r="13" spans="1:17" x14ac:dyDescent="0.2">
      <c r="A13" t="str">
        <v/>
      </c>
      <c r="B13" t="str">
        <v/>
      </c>
      <c r="D13" t="str">
        <v/>
      </c>
      <c r="E13" t="str">
        <v/>
      </c>
      <c r="G13" t="str">
        <v/>
      </c>
      <c r="H13" t="str">
        <v/>
      </c>
      <c r="J13" t="str">
        <v/>
      </c>
      <c r="K13" t="str">
        <v/>
      </c>
      <c r="M13" t="str">
        <v/>
      </c>
      <c r="N13" t="str">
        <v/>
      </c>
      <c r="P13" t="str">
        <v/>
      </c>
      <c r="Q13" t="str">
        <v/>
      </c>
    </row>
    <row r="14" spans="1:17" x14ac:dyDescent="0.2">
      <c r="A14" t="str">
        <v/>
      </c>
      <c r="B14" t="str">
        <v/>
      </c>
      <c r="D14" t="str">
        <v/>
      </c>
      <c r="E14" t="str">
        <v/>
      </c>
      <c r="G14" t="str">
        <v/>
      </c>
      <c r="H14" t="str">
        <v/>
      </c>
      <c r="J14" t="str">
        <v/>
      </c>
      <c r="K14" t="str">
        <v/>
      </c>
      <c r="M14" t="str">
        <v/>
      </c>
      <c r="N14" t="str">
        <v/>
      </c>
      <c r="P14" t="str">
        <v/>
      </c>
      <c r="Q14" t="str">
        <v/>
      </c>
    </row>
    <row r="15" spans="1:17" x14ac:dyDescent="0.2">
      <c r="A15" t="str">
        <v/>
      </c>
      <c r="B15" t="str">
        <v/>
      </c>
      <c r="D15" t="str">
        <v/>
      </c>
      <c r="E15" t="str">
        <v/>
      </c>
      <c r="G15" t="str">
        <v/>
      </c>
      <c r="H15" t="str">
        <v/>
      </c>
      <c r="J15" t="str">
        <v/>
      </c>
      <c r="K15" t="str">
        <v/>
      </c>
      <c r="M15" t="str">
        <v/>
      </c>
      <c r="N15" t="str">
        <v/>
      </c>
      <c r="P15" t="str">
        <v/>
      </c>
      <c r="Q15" t="str">
        <v/>
      </c>
    </row>
    <row r="16" spans="1:17" x14ac:dyDescent="0.2">
      <c r="A16" t="str">
        <v/>
      </c>
      <c r="B16" t="str">
        <v/>
      </c>
      <c r="D16" t="str">
        <v/>
      </c>
      <c r="E16" t="str">
        <v/>
      </c>
      <c r="G16" t="str">
        <v/>
      </c>
      <c r="H16" t="str">
        <v/>
      </c>
      <c r="J16" t="str">
        <v/>
      </c>
      <c r="K16" t="str">
        <v/>
      </c>
      <c r="M16" t="str">
        <v/>
      </c>
      <c r="N16" t="str">
        <v/>
      </c>
      <c r="P16" t="str">
        <v/>
      </c>
      <c r="Q16" t="str">
        <v/>
      </c>
    </row>
    <row r="17" spans="1:17" x14ac:dyDescent="0.2">
      <c r="A17" t="str">
        <v/>
      </c>
      <c r="B17" t="str">
        <v/>
      </c>
      <c r="D17" t="str">
        <v/>
      </c>
      <c r="E17" t="str">
        <v/>
      </c>
      <c r="G17" t="str">
        <v/>
      </c>
      <c r="H17" t="str">
        <v/>
      </c>
      <c r="J17" t="str">
        <v/>
      </c>
      <c r="K17" t="str">
        <v/>
      </c>
      <c r="M17" t="str">
        <v/>
      </c>
      <c r="N17" t="str">
        <v/>
      </c>
      <c r="P17" t="str">
        <v/>
      </c>
      <c r="Q17" t="str">
        <v/>
      </c>
    </row>
    <row r="18" spans="1:17" x14ac:dyDescent="0.2">
      <c r="A18" t="str">
        <v/>
      </c>
      <c r="B18" t="str">
        <v/>
      </c>
      <c r="D18" t="str">
        <v/>
      </c>
      <c r="E18" t="str">
        <v/>
      </c>
      <c r="G18" t="str">
        <v/>
      </c>
      <c r="H18" t="str">
        <v/>
      </c>
      <c r="J18" t="str">
        <v/>
      </c>
      <c r="K18" t="str">
        <v/>
      </c>
      <c r="M18" t="str">
        <v/>
      </c>
      <c r="N18" t="str">
        <v/>
      </c>
      <c r="P18" t="str">
        <v/>
      </c>
      <c r="Q18" t="str">
        <v/>
      </c>
    </row>
    <row r="19" spans="1:17" x14ac:dyDescent="0.2">
      <c r="A19" t="str">
        <v/>
      </c>
      <c r="B19" t="str">
        <v/>
      </c>
      <c r="D19" t="str">
        <v/>
      </c>
      <c r="E19" t="str">
        <v/>
      </c>
      <c r="G19" t="str">
        <v/>
      </c>
      <c r="H19" t="str">
        <v/>
      </c>
      <c r="J19" t="str">
        <v/>
      </c>
      <c r="K19" t="str">
        <v/>
      </c>
      <c r="M19" t="str">
        <v/>
      </c>
      <c r="N19" t="str">
        <v/>
      </c>
      <c r="P19" t="str">
        <v/>
      </c>
      <c r="Q19" t="str">
        <v/>
      </c>
    </row>
    <row r="20" spans="1:17" x14ac:dyDescent="0.2">
      <c r="A20" t="str">
        <f t="array" ref="A20:A28">IFERROR(INDEX(Sheet1!$D$54:$D$62,SMALL(IF(((Sheet1!$I$54:$J$62="CONCENTRATION")*(Sheet1!$C$54:$C$62&lt;=99)),ROW(Sheet1!$I$54:$J$62)-ROW(Sheet1!$I$54)+1),ROW()-19),1),"")</f>
        <v/>
      </c>
      <c r="B20" t="str">
        <f t="array" ref="B20:B28">IFERROR(INDEX(Sheet1!$H$54:$H$62,SMALL(IF(((Sheet1!$I$54:$J$62="CONCENTRATION")*(Sheet1!$C$54:$C$62&lt;=99)),ROW(Sheet1!$I$54:$J$62)-ROW(Sheet1!$I$54)+1),ROW()-19),1),"")</f>
        <v/>
      </c>
      <c r="D20" t="str">
        <f t="array" ref="D20:D28">IFERROR(INDEX(Sheet1!$D$54:$D$62,SMALL(IF(((Sheet1!$I$54:$J$62="CONCENTRATION")*(Sheet1!$C$54:$C$62&gt;99)),ROW(Sheet1!$I$54:$J$62)-ROW(Sheet1!$I$54)+1),ROW()-19),1),"")</f>
        <v/>
      </c>
      <c r="E20" t="str">
        <f t="array" ref="E20:E28">IFERROR(INDEX(Sheet1!$H$54:$H$62,SMALL(IF(((Sheet1!$I$54:$J$62="CONCENTRATION")*(Sheet1!$C$54:$C$62&gt;99)),ROW(Sheet1!$I$54:$J$62)-ROW(Sheet1!$I$54)+1),ROW()-19),1),"")</f>
        <v/>
      </c>
      <c r="G20" t="str">
        <f t="array" ref="G20:G28">IFERROR(INDEX(Sheet1!$D$54:$D$62,SMALL(IF(ISNUMBER(MATCH(Sheet1!$B$54:$B$62,ASLIST,0)),ROW(Sheet1!$D$54:$D$62)-ROW(Sheet1!$D$54)+1,IF(ISNUMBER(MATCH(Sheet1!$D$54:$D$62,SINGLEAS,0)),ROW(Sheet1!$D$54:$D$62)-ROW(Sheet1!$D$54)+1)),ROW()-19),1),"")</f>
        <v/>
      </c>
      <c r="H20" t="str">
        <f t="array" ref="H20:H28">IFERROR(INDEX(Sheet1!$H$54:$H$62,SMALL(IF(ISNUMBER(MATCH(Sheet1!$B$54:$B$62,ASLIST,0)),ROW(Sheet1!$D$54:$D$62)-ROW(Sheet1!$D$54)+1,IF(ISNUMBER(MATCH(Sheet1!$D$54:$D$62,SINGLEAS,0)),ROW(Sheet1!$D$54:$D$62)-ROW(Sheet1!$D$54)+1)),ROW()-19),1),"")</f>
        <v/>
      </c>
      <c r="J20" t="str">
        <f t="array" ref="J20:J28">IFERROR(INDEX(Sheet1!$D$54:$D$62,SMALL(IF((Sheet1!$B$54:$B$62&lt;&gt;"JMC")*(Sheet1!$B$54:$B$62&lt;&gt;""),ROW(Sheet1!$B$54:$B$62)-ROW(Sheet1!$B$54)+1),ROW()-19),1),"")</f>
        <v/>
      </c>
      <c r="K20" t="str">
        <f t="array" ref="K20:K28">IFERROR(INDEX(Sheet1!$H$54:$H$62,SMALL(IF((Sheet1!$B$54:$B$62&lt;&gt;"JMC")*(Sheet1!$B$54:$B$62&lt;&gt;""),ROW(Sheet1!$B$54:$B$62)-ROW(Sheet1!$B$54)+1),ROW()-19),1),"")</f>
        <v/>
      </c>
      <c r="M20" t="str">
        <f t="array" ref="M20:M28">IFERROR(INDEX(Sheet1!$D$54:$D$62,SMALL(IF((Sheet1!$C$54:$C$62&gt;99)*(Sheet1!$C$54:$C$62&lt;&gt;"0--"),ROW(Sheet1!$I$54:$J$62)-ROW(Sheet1!$I$54)+1),ROW()-19),1),"")</f>
        <v/>
      </c>
      <c r="N20" t="str">
        <f t="array" ref="N20:N28">IFERROR(INDEX(Sheet1!$H$54:$H$62,SMALL(IF((Sheet1!$C$54:$C$62&gt;99)*(Sheet1!$C$54:$C$62&lt;&gt;"0--"),ROW(Sheet1!$I$54:$J$62)-ROW(Sheet1!$I$54)+1),ROW()-19),1),"")</f>
        <v/>
      </c>
      <c r="P20" t="str">
        <f t="array" ref="P20:P28">IFERROR(INDEX(Sheet1!$D$54:$D$62,SMALL(IF(Sheet1!$B$54:$B$62="HONR",ROW(Sheet1!$B$54:$B$62)-ROW(Sheet1!$B$54)+1),ROW()-19),1),"")</f>
        <v/>
      </c>
      <c r="Q20" t="str">
        <f t="array" ref="Q20:Q28">IFERROR(INDEX(Sheet1!$H$54:$H$62,SMALL(IF(Sheet1!$B$54:$B$62="HONR",ROW(Sheet1!$B$54:$B$62)-ROW(Sheet1!$B$54)+1),ROW()-19),1),"")</f>
        <v/>
      </c>
    </row>
    <row r="21" spans="1:17" x14ac:dyDescent="0.2">
      <c r="A21" t="str">
        <v/>
      </c>
      <c r="B21" t="str">
        <v/>
      </c>
      <c r="D21" t="str">
        <v/>
      </c>
      <c r="E21" t="str">
        <v/>
      </c>
      <c r="G21" t="str">
        <v/>
      </c>
      <c r="H21" t="str">
        <v/>
      </c>
      <c r="J21" t="str">
        <v/>
      </c>
      <c r="K21" t="str">
        <v/>
      </c>
      <c r="M21" t="str">
        <v/>
      </c>
      <c r="N21" t="str">
        <v/>
      </c>
      <c r="P21" t="str">
        <v/>
      </c>
      <c r="Q21" t="str">
        <v/>
      </c>
    </row>
    <row r="22" spans="1:17" x14ac:dyDescent="0.2">
      <c r="A22" t="str">
        <v/>
      </c>
      <c r="B22" t="str">
        <v/>
      </c>
      <c r="D22" t="str">
        <v/>
      </c>
      <c r="E22" t="str">
        <v/>
      </c>
      <c r="G22" t="str">
        <v/>
      </c>
      <c r="H22" t="str">
        <v/>
      </c>
      <c r="J22" t="str">
        <v/>
      </c>
      <c r="K22" t="str">
        <v/>
      </c>
      <c r="M22" t="str">
        <v/>
      </c>
      <c r="N22" t="str">
        <v/>
      </c>
      <c r="P22" t="str">
        <v/>
      </c>
      <c r="Q22" t="str">
        <v/>
      </c>
    </row>
    <row r="23" spans="1:17" x14ac:dyDescent="0.2">
      <c r="A23" t="str">
        <v/>
      </c>
      <c r="B23" t="str">
        <v/>
      </c>
      <c r="D23" t="str">
        <v/>
      </c>
      <c r="E23" t="str">
        <v/>
      </c>
      <c r="G23" t="str">
        <v/>
      </c>
      <c r="H23" t="str">
        <v/>
      </c>
      <c r="J23" t="str">
        <v/>
      </c>
      <c r="K23" t="str">
        <v/>
      </c>
      <c r="M23" t="str">
        <v/>
      </c>
      <c r="N23" t="str">
        <v/>
      </c>
      <c r="P23" t="str">
        <v/>
      </c>
      <c r="Q23" t="str">
        <v/>
      </c>
    </row>
    <row r="24" spans="1:17" x14ac:dyDescent="0.2">
      <c r="A24" t="str">
        <v/>
      </c>
      <c r="B24" t="str">
        <v/>
      </c>
      <c r="D24" t="str">
        <v/>
      </c>
      <c r="E24" t="str">
        <v/>
      </c>
      <c r="G24" t="str">
        <v/>
      </c>
      <c r="H24" t="str">
        <v/>
      </c>
      <c r="J24" t="str">
        <v/>
      </c>
      <c r="K24" t="str">
        <v/>
      </c>
      <c r="M24" t="str">
        <v/>
      </c>
      <c r="N24" t="str">
        <v/>
      </c>
      <c r="P24" t="str">
        <v/>
      </c>
      <c r="Q24" t="str">
        <v/>
      </c>
    </row>
    <row r="25" spans="1:17" x14ac:dyDescent="0.2">
      <c r="A25" t="str">
        <v/>
      </c>
      <c r="B25" t="str">
        <v/>
      </c>
      <c r="D25" t="str">
        <v/>
      </c>
      <c r="E25" t="str">
        <v/>
      </c>
      <c r="G25" t="str">
        <v/>
      </c>
      <c r="H25" t="str">
        <v/>
      </c>
      <c r="J25" t="str">
        <v/>
      </c>
      <c r="K25" t="str">
        <v/>
      </c>
      <c r="M25" t="str">
        <v/>
      </c>
      <c r="N25" t="str">
        <v/>
      </c>
      <c r="P25" t="str">
        <v/>
      </c>
      <c r="Q25" t="str">
        <v/>
      </c>
    </row>
    <row r="26" spans="1:17" x14ac:dyDescent="0.2">
      <c r="A26" t="str">
        <v/>
      </c>
      <c r="B26" t="str">
        <v/>
      </c>
      <c r="D26" t="str">
        <v/>
      </c>
      <c r="E26" t="str">
        <v/>
      </c>
      <c r="G26" t="str">
        <v/>
      </c>
      <c r="H26" t="str">
        <v/>
      </c>
      <c r="J26" t="str">
        <v/>
      </c>
      <c r="K26" t="str">
        <v/>
      </c>
      <c r="M26" t="str">
        <v/>
      </c>
      <c r="N26" t="str">
        <v/>
      </c>
      <c r="P26" t="str">
        <v/>
      </c>
      <c r="Q26" t="str">
        <v/>
      </c>
    </row>
    <row r="27" spans="1:17" x14ac:dyDescent="0.2">
      <c r="A27" t="str">
        <v/>
      </c>
      <c r="B27" t="str">
        <v/>
      </c>
      <c r="D27" t="str">
        <v/>
      </c>
      <c r="E27" t="str">
        <v/>
      </c>
      <c r="G27" t="str">
        <v/>
      </c>
      <c r="H27" t="str">
        <v/>
      </c>
      <c r="J27" t="str">
        <v/>
      </c>
      <c r="K27" t="str">
        <v/>
      </c>
      <c r="M27" t="str">
        <v/>
      </c>
      <c r="N27" t="str">
        <v/>
      </c>
      <c r="P27" t="str">
        <v/>
      </c>
      <c r="Q27" t="str">
        <v/>
      </c>
    </row>
    <row r="28" spans="1:17" x14ac:dyDescent="0.2">
      <c r="A28" t="str">
        <v/>
      </c>
      <c r="B28" t="str">
        <v/>
      </c>
      <c r="D28" t="str">
        <v/>
      </c>
      <c r="E28" t="str">
        <v/>
      </c>
      <c r="G28" t="str">
        <v/>
      </c>
      <c r="H28" t="str">
        <v/>
      </c>
      <c r="J28" t="str">
        <v/>
      </c>
      <c r="K28" t="str">
        <v/>
      </c>
      <c r="M28" t="str">
        <v/>
      </c>
      <c r="N28" t="str">
        <v/>
      </c>
      <c r="P28" t="str">
        <v/>
      </c>
      <c r="Q28" t="str">
        <v/>
      </c>
    </row>
    <row r="29" spans="1:17" x14ac:dyDescent="0.2">
      <c r="A29" t="str">
        <f t="array" ref="A29:A37">IFERROR(INDEX(Sheet1!$D$68:$D$76,SMALL(IF(((Sheet1!$I$68:$J$76="CONCENTRATION")*(Sheet1!$C$68:$C$76&lt;=99)),ROW(Sheet1!$I$68:$J$76)-ROW(Sheet1!$I$68)+1),ROW()-28),1),"")</f>
        <v/>
      </c>
      <c r="B29" t="str">
        <f t="array" ref="B29:B37">IFERROR(INDEX(Sheet1!$H$68:$H$76,SMALL(IF(((Sheet1!$I$68:$J$76="CONCENTRATION")*(Sheet1!$C$68:$C$76&lt;=99)),ROW(Sheet1!$I$68:$J$76)-ROW(Sheet1!$I$68)+1),ROW()-28),1),"")</f>
        <v/>
      </c>
      <c r="D29" t="str">
        <f t="array" ref="D29:D37">IFERROR(INDEX(Sheet1!$D$68:$D$76,SMALL(IF(((Sheet1!$I$68:$J$76="CONCENTRATION")*(Sheet1!$C$68:$C$76&gt;99)),ROW(Sheet1!$I$68:$J$76)-ROW(Sheet1!$I$68)+1),ROW()-28),1),"")</f>
        <v/>
      </c>
      <c r="E29" t="str">
        <f t="array" ref="E29:E37">IFERROR(INDEX(Sheet1!$H$68:$H$76,SMALL(IF(((Sheet1!$I$68:$J$76="CONCENTRATION")*(Sheet1!$C$68:$C$76&gt;99)),ROW(Sheet1!$I$68:$J$76)-ROW(Sheet1!$I$68)+1),ROW()-28),1),"")</f>
        <v/>
      </c>
      <c r="G29" t="str">
        <f t="array" ref="G29:G37">IFERROR(INDEX(Sheet1!$D$68:$D$76,SMALL(IF(ISNUMBER(MATCH(Sheet1!$B$68:$B$76,ASLIST,0)),ROW(Sheet1!$D$68:$D$76)-ROW(Sheet1!$D$68)+1,IF(ISNUMBER(MATCH(Sheet1!$D$68:$D$76,SINGLEAS,0)),ROW(Sheet1!$D$68:$D$76)-ROW(Sheet1!$D$68)+1)),ROW()-28),1),"")</f>
        <v/>
      </c>
      <c r="H29" t="str">
        <f t="array" ref="H29:H37">IFERROR(INDEX(Sheet1!$H$68:$H$76,SMALL(IF(ISNUMBER(MATCH(Sheet1!$B$68:$B$76,ASLIST,0)),ROW(Sheet1!$D$68:$D$76)-ROW(Sheet1!$D$68)+1,IF(ISNUMBER(MATCH(Sheet1!$D$68:$D$76,SINGLEAS,0)),ROW(Sheet1!$D$68:$D$76)-ROW(Sheet1!$D$68)+1)),ROW()-28),1),"")</f>
        <v/>
      </c>
      <c r="J29" t="str">
        <f t="array" ref="J29:J37">IFERROR(INDEX(Sheet1!$D$68:$D$76,SMALL(IF((Sheet1!$B$68:$B$76&lt;&gt;"JMC")*(Sheet1!$B$68:$B$76&lt;&gt;""),ROW(Sheet1!$B$68:$B$76)-ROW(Sheet1!$B$68)+1),ROW()-28),1),"")</f>
        <v/>
      </c>
      <c r="K29" t="str">
        <f t="array" ref="K29:K37">IFERROR(INDEX(Sheet1!$H$68:$H$76,SMALL(IF((Sheet1!$B$68:$B$76&lt;&gt;"JMC")*(Sheet1!$B$68:$B$76&lt;&gt;""),ROW(Sheet1!$B$68:$B$76)-ROW(Sheet1!$B$68)+1),ROW()-28),1),"")</f>
        <v/>
      </c>
      <c r="M29" t="str">
        <f t="array" ref="M29:M37">IFERROR(INDEX(Sheet1!$D$68:$D$76,SMALL(IF((Sheet1!$C$68:$C$76&gt;99)*(Sheet1!$C$68:$C$76&lt;&gt;"0--"),ROW(Sheet1!$I$68:$J$76)-ROW(Sheet1!$I$68)+1),ROW()-28),1),"")</f>
        <v/>
      </c>
      <c r="N29" t="str">
        <f t="array" ref="N29:N37">IFERROR(INDEX(Sheet1!$H$68:$H$76,SMALL(IF((Sheet1!$C$68:$C$76&gt;99)*(Sheet1!$C$68:$C$76&lt;&gt;"0--"),ROW(Sheet1!$I$68:$J$76)-ROW(Sheet1!$I$68)+1),ROW()-28),1),"")</f>
        <v/>
      </c>
      <c r="P29" t="str">
        <f t="array" ref="P29:P37">IFERROR(INDEX(Sheet1!$D$68:$D$76,SMALL(IF(Sheet1!$B$68:$B$76="HONR",ROW(Sheet1!$B$68:$B$76)-ROW(Sheet1!$B$68)+1),ROW()-28),1),"")</f>
        <v/>
      </c>
      <c r="Q29" t="str">
        <f t="array" ref="Q29:Q37">IFERROR(INDEX(Sheet1!$H$68:$H$76,SMALL(IF(Sheet1!$B$68:$B$76="HONR",ROW(Sheet1!$B$68:$B$76)-ROW(Sheet1!$B$68)+1),ROW()-28),1),"")</f>
        <v/>
      </c>
    </row>
    <row r="30" spans="1:17" x14ac:dyDescent="0.2">
      <c r="A30" t="str">
        <v/>
      </c>
      <c r="B30" t="str">
        <v/>
      </c>
      <c r="D30" t="str">
        <v/>
      </c>
      <c r="E30" t="str">
        <v/>
      </c>
      <c r="G30" t="str">
        <v/>
      </c>
      <c r="H30" t="str">
        <v/>
      </c>
      <c r="J30" t="str">
        <v/>
      </c>
      <c r="K30" t="str">
        <v/>
      </c>
      <c r="M30" t="str">
        <v/>
      </c>
      <c r="N30" t="str">
        <v/>
      </c>
      <c r="P30" t="str">
        <v/>
      </c>
      <c r="Q30" t="str">
        <v/>
      </c>
    </row>
    <row r="31" spans="1:17" x14ac:dyDescent="0.2">
      <c r="A31" t="str">
        <v/>
      </c>
      <c r="B31" t="str">
        <v/>
      </c>
      <c r="D31" t="str">
        <v/>
      </c>
      <c r="E31" t="str">
        <v/>
      </c>
      <c r="G31" t="str">
        <v/>
      </c>
      <c r="H31" t="str">
        <v/>
      </c>
      <c r="J31" t="str">
        <v/>
      </c>
      <c r="K31" t="str">
        <v/>
      </c>
      <c r="M31" t="str">
        <v/>
      </c>
      <c r="N31" t="str">
        <v/>
      </c>
      <c r="P31" t="str">
        <v/>
      </c>
      <c r="Q31" t="str">
        <v/>
      </c>
    </row>
    <row r="32" spans="1:17" x14ac:dyDescent="0.2">
      <c r="A32" t="str">
        <v/>
      </c>
      <c r="B32" t="str">
        <v/>
      </c>
      <c r="D32" t="str">
        <v/>
      </c>
      <c r="E32" t="str">
        <v/>
      </c>
      <c r="G32" t="str">
        <v/>
      </c>
      <c r="H32" t="str">
        <v/>
      </c>
      <c r="J32" t="str">
        <v/>
      </c>
      <c r="K32" t="str">
        <v/>
      </c>
      <c r="M32" t="str">
        <v/>
      </c>
      <c r="N32" t="str">
        <v/>
      </c>
      <c r="P32" t="str">
        <v/>
      </c>
      <c r="Q32" t="str">
        <v/>
      </c>
    </row>
    <row r="33" spans="1:17" x14ac:dyDescent="0.2">
      <c r="A33" t="str">
        <v/>
      </c>
      <c r="B33" t="str">
        <v/>
      </c>
      <c r="D33" t="str">
        <v/>
      </c>
      <c r="E33" t="str">
        <v/>
      </c>
      <c r="G33" t="str">
        <v/>
      </c>
      <c r="H33" t="str">
        <v/>
      </c>
      <c r="J33" t="str">
        <v/>
      </c>
      <c r="K33" t="str">
        <v/>
      </c>
      <c r="M33" t="str">
        <v/>
      </c>
      <c r="N33" t="str">
        <v/>
      </c>
      <c r="P33" t="str">
        <v/>
      </c>
      <c r="Q33" t="str">
        <v/>
      </c>
    </row>
    <row r="34" spans="1:17" x14ac:dyDescent="0.2">
      <c r="A34" t="str">
        <v/>
      </c>
      <c r="B34" t="str">
        <v/>
      </c>
      <c r="D34" t="str">
        <v/>
      </c>
      <c r="E34" t="str">
        <v/>
      </c>
      <c r="G34" t="str">
        <v/>
      </c>
      <c r="H34" t="str">
        <v/>
      </c>
      <c r="J34" t="str">
        <v/>
      </c>
      <c r="K34" t="str">
        <v/>
      </c>
      <c r="M34" t="str">
        <v/>
      </c>
      <c r="N34" t="str">
        <v/>
      </c>
      <c r="P34" t="str">
        <v/>
      </c>
      <c r="Q34" t="str">
        <v/>
      </c>
    </row>
    <row r="35" spans="1:17" x14ac:dyDescent="0.2">
      <c r="A35" t="str">
        <v/>
      </c>
      <c r="B35" t="str">
        <v/>
      </c>
      <c r="D35" t="str">
        <v/>
      </c>
      <c r="E35" t="str">
        <v/>
      </c>
      <c r="G35" t="str">
        <v/>
      </c>
      <c r="H35" t="str">
        <v/>
      </c>
      <c r="J35" t="str">
        <v/>
      </c>
      <c r="K35" t="str">
        <v/>
      </c>
      <c r="M35" t="str">
        <v/>
      </c>
      <c r="N35" t="str">
        <v/>
      </c>
      <c r="P35" t="str">
        <v/>
      </c>
      <c r="Q35" t="str">
        <v/>
      </c>
    </row>
    <row r="36" spans="1:17" x14ac:dyDescent="0.2">
      <c r="A36" t="str">
        <v/>
      </c>
      <c r="B36" t="str">
        <v/>
      </c>
      <c r="D36" t="str">
        <v/>
      </c>
      <c r="E36" t="str">
        <v/>
      </c>
      <c r="G36" t="str">
        <v/>
      </c>
      <c r="H36" t="str">
        <v/>
      </c>
      <c r="J36" t="str">
        <v/>
      </c>
      <c r="K36" t="str">
        <v/>
      </c>
      <c r="M36" t="str">
        <v/>
      </c>
      <c r="N36" t="str">
        <v/>
      </c>
      <c r="P36" t="str">
        <v/>
      </c>
      <c r="Q36" t="str">
        <v/>
      </c>
    </row>
    <row r="37" spans="1:17" x14ac:dyDescent="0.2">
      <c r="A37" t="str">
        <v/>
      </c>
      <c r="B37" t="str">
        <v/>
      </c>
      <c r="D37" t="str">
        <v/>
      </c>
      <c r="E37" t="str">
        <v/>
      </c>
      <c r="G37" t="str">
        <v/>
      </c>
      <c r="H37" t="str">
        <v/>
      </c>
      <c r="J37" t="str">
        <v/>
      </c>
      <c r="K37" t="str">
        <v/>
      </c>
      <c r="M37" t="str">
        <v/>
      </c>
      <c r="N37" t="str">
        <v/>
      </c>
      <c r="P37" t="str">
        <v/>
      </c>
      <c r="Q37" t="str">
        <v/>
      </c>
    </row>
    <row r="38" spans="1:17" x14ac:dyDescent="0.2">
      <c r="A38" t="str">
        <f t="array" ref="A38:A46">IFERROR(INDEX(Sheet1!$D$82:$D$90,SMALL(IF(((Sheet1!$I$82:$J$90="CONCENTRATION")*(Sheet1!$C$82:$C$90&lt;=99)),ROW(Sheet1!$I$82:$J$90)-ROW(Sheet1!$I$82)+1),ROW()-37),1),"")</f>
        <v/>
      </c>
      <c r="B38" t="str">
        <f t="array" ref="B38:B46">IFERROR(INDEX(Sheet1!$H$82:$H$90,SMALL(IF(((Sheet1!$I$82:$J$90="CONCENTRATION")*(Sheet1!$C$82:$C$90&lt;=99)),ROW(Sheet1!$I$82:$J$90)-ROW(Sheet1!$I$82)+1),ROW()-37),1),"")</f>
        <v/>
      </c>
      <c r="D38" t="str">
        <f t="array" ref="D38:D46">IFERROR(INDEX(Sheet1!$D$82:$D$90,SMALL(IF(((Sheet1!$I$82:$J$90="CONCENTRATION")*(Sheet1!$C$82:$C$90&gt;99)),ROW(Sheet1!$I$82:$J$90)-ROW(Sheet1!$I$82)+1),ROW()-37),1),"")</f>
        <v/>
      </c>
      <c r="E38" t="str">
        <f t="array" ref="E38:E46">IFERROR(INDEX(Sheet1!$H$82:$H$90,SMALL(IF(((Sheet1!$I$82:$J$90="CONCENTRATION")*(Sheet1!$C$82:$C$90&gt;99)),ROW(Sheet1!$I$82:$J$90)-ROW(Sheet1!$I$82)+1),ROW()-37),1),"")</f>
        <v/>
      </c>
      <c r="G38" t="str">
        <f t="array" ref="G38:G46">IFERROR(INDEX(Sheet1!$D$82:$D$90,SMALL(IF(ISNUMBER(MATCH(Sheet1!$B$82:$B$90,ASLIST,0)),ROW(Sheet1!$D$82:$D$90)-ROW(Sheet1!$D$82)+1,IF(ISNUMBER(MATCH(Sheet1!$D$82:$D$90,SINGLEAS,0)),ROW(Sheet1!$D$82:$D$90)-ROW(Sheet1!$D$82)+1)),ROW()-37),1),"")</f>
        <v/>
      </c>
      <c r="H38" t="str">
        <f t="array" ref="H38:H46">IFERROR(INDEX(Sheet1!$H$82:$H$90,SMALL(IF(ISNUMBER(MATCH(Sheet1!$B$82:$B$90,ASLIST,0)),ROW(Sheet1!$D$82:$D$90)-ROW(Sheet1!$D$82)+1,IF(ISNUMBER(MATCH(Sheet1!$D$82:$D$90,SINGLEAS,0)),ROW(Sheet1!$D$82:$D$90)-ROW(Sheet1!$D$82)+1)),ROW()-37),1),"")</f>
        <v/>
      </c>
      <c r="J38" t="str">
        <f t="array" ref="J38:J46">IFERROR(INDEX(Sheet1!$D$82:$D$90,SMALL(IF((Sheet1!$B$82:$B$90&lt;&gt;"JMC")*(Sheet1!$B$82:$B$90&lt;&gt;""),ROW(Sheet1!$B$82:$B$90)-ROW(Sheet1!$B$82)+1),ROW()-37),1),"")</f>
        <v/>
      </c>
      <c r="K38" t="str">
        <f t="array" ref="K38:K46">IFERROR(INDEX(Sheet1!$H$82:$H$90,SMALL(IF((Sheet1!$B$82:$B$90&lt;&gt;"JMC")*(Sheet1!$B$82:$B$90&lt;&gt;""),ROW(Sheet1!$B$82:$B$90)-ROW(Sheet1!$B$82)+1),ROW()-37),1),"")</f>
        <v/>
      </c>
      <c r="M38" t="str">
        <f t="array" ref="M38:M46">IFERROR(INDEX(Sheet1!$D$82:$D$90,SMALL(IF((Sheet1!$C$82:$C$90&gt;99)*(Sheet1!$C$82:$C$90&lt;&gt;"0--"),ROW(Sheet1!$I$82:$J$90)-ROW(Sheet1!$I$82)+1),ROW()-37),1),"")</f>
        <v/>
      </c>
      <c r="N38" t="str">
        <f t="array" ref="N38:N46">IFERROR(INDEX(Sheet1!$H$82:$H$90,SMALL(IF((Sheet1!$C$82:$C$90&gt;99)*(Sheet1!$C$82:$C$90&lt;&gt;"0--"),ROW(Sheet1!$I$82:$J$90)-ROW(Sheet1!$I$82)+1),ROW()-37),1),"")</f>
        <v/>
      </c>
      <c r="P38" t="str">
        <f t="array" ref="P38:P46">IFERROR(INDEX(Sheet1!$D$82:$D$90,SMALL(IF(Sheet1!$B$82:$B$90="HONR",ROW(Sheet1!$B$82:$B$90)-ROW(Sheet1!$B$82)+1),ROW()-37),1),"")</f>
        <v/>
      </c>
      <c r="Q38" t="str">
        <f t="array" ref="Q38:Q46">IFERROR(INDEX(Sheet1!$H$82:$H$90,SMALL(IF(Sheet1!$B$82:$B$90="HONR",ROW(Sheet1!$B$82:$B$90)-ROW(Sheet1!$B$82)+1),ROW()-37),1),"")</f>
        <v/>
      </c>
    </row>
    <row r="39" spans="1:17" x14ac:dyDescent="0.2">
      <c r="A39" t="str">
        <v/>
      </c>
      <c r="B39" t="str">
        <v/>
      </c>
      <c r="D39" t="str">
        <v/>
      </c>
      <c r="E39" t="str">
        <v/>
      </c>
      <c r="G39" t="str">
        <v/>
      </c>
      <c r="H39" t="str">
        <v/>
      </c>
      <c r="J39" t="str">
        <v/>
      </c>
      <c r="K39" t="str">
        <v/>
      </c>
      <c r="M39" t="str">
        <v/>
      </c>
      <c r="N39" t="str">
        <v/>
      </c>
      <c r="P39" t="str">
        <v/>
      </c>
      <c r="Q39" t="str">
        <v/>
      </c>
    </row>
    <row r="40" spans="1:17" x14ac:dyDescent="0.2">
      <c r="A40" t="str">
        <v/>
      </c>
      <c r="B40" t="str">
        <v/>
      </c>
      <c r="D40" t="str">
        <v/>
      </c>
      <c r="E40" t="str">
        <v/>
      </c>
      <c r="G40" t="str">
        <v/>
      </c>
      <c r="H40" t="str">
        <v/>
      </c>
      <c r="J40" t="str">
        <v/>
      </c>
      <c r="K40" t="str">
        <v/>
      </c>
      <c r="M40" t="str">
        <v/>
      </c>
      <c r="N40" t="str">
        <v/>
      </c>
      <c r="P40" t="str">
        <v/>
      </c>
      <c r="Q40" t="str">
        <v/>
      </c>
    </row>
    <row r="41" spans="1:17" x14ac:dyDescent="0.2">
      <c r="A41" t="str">
        <v/>
      </c>
      <c r="B41" t="str">
        <v/>
      </c>
      <c r="D41" t="str">
        <v/>
      </c>
      <c r="E41" t="str">
        <v/>
      </c>
      <c r="G41" t="str">
        <v/>
      </c>
      <c r="H41" t="str">
        <v/>
      </c>
      <c r="J41" t="str">
        <v/>
      </c>
      <c r="K41" t="str">
        <v/>
      </c>
      <c r="M41" t="str">
        <v/>
      </c>
      <c r="N41" t="str">
        <v/>
      </c>
      <c r="P41" t="str">
        <v/>
      </c>
      <c r="Q41" t="str">
        <v/>
      </c>
    </row>
    <row r="42" spans="1:17" x14ac:dyDescent="0.2">
      <c r="A42" t="str">
        <v/>
      </c>
      <c r="B42" t="str">
        <v/>
      </c>
      <c r="D42" t="str">
        <v/>
      </c>
      <c r="E42" t="str">
        <v/>
      </c>
      <c r="G42" t="str">
        <v/>
      </c>
      <c r="H42" t="str">
        <v/>
      </c>
      <c r="J42" t="str">
        <v/>
      </c>
      <c r="K42" t="str">
        <v/>
      </c>
      <c r="M42" t="str">
        <v/>
      </c>
      <c r="N42" t="str">
        <v/>
      </c>
      <c r="P42" t="str">
        <v/>
      </c>
      <c r="Q42" t="str">
        <v/>
      </c>
    </row>
    <row r="43" spans="1:17" x14ac:dyDescent="0.2">
      <c r="A43" t="str">
        <v/>
      </c>
      <c r="B43" t="str">
        <v/>
      </c>
      <c r="D43" t="str">
        <v/>
      </c>
      <c r="E43" t="str">
        <v/>
      </c>
      <c r="G43" t="str">
        <v/>
      </c>
      <c r="H43" t="str">
        <v/>
      </c>
      <c r="J43" t="str">
        <v/>
      </c>
      <c r="K43" t="str">
        <v/>
      </c>
      <c r="M43" t="str">
        <v/>
      </c>
      <c r="N43" t="str">
        <v/>
      </c>
      <c r="P43" t="str">
        <v/>
      </c>
      <c r="Q43" t="str">
        <v/>
      </c>
    </row>
    <row r="44" spans="1:17" x14ac:dyDescent="0.2">
      <c r="A44" t="str">
        <v/>
      </c>
      <c r="B44" t="str">
        <v/>
      </c>
      <c r="D44" t="str">
        <v/>
      </c>
      <c r="E44" t="str">
        <v/>
      </c>
      <c r="G44" t="str">
        <v/>
      </c>
      <c r="H44" t="str">
        <v/>
      </c>
      <c r="J44" t="str">
        <v/>
      </c>
      <c r="K44" t="str">
        <v/>
      </c>
      <c r="M44" t="str">
        <v/>
      </c>
      <c r="N44" t="str">
        <v/>
      </c>
      <c r="P44" t="str">
        <v/>
      </c>
      <c r="Q44" t="str">
        <v/>
      </c>
    </row>
    <row r="45" spans="1:17" x14ac:dyDescent="0.2">
      <c r="A45" t="str">
        <v/>
      </c>
      <c r="B45" t="str">
        <v/>
      </c>
      <c r="D45" t="str">
        <v/>
      </c>
      <c r="E45" t="str">
        <v/>
      </c>
      <c r="G45" t="str">
        <v/>
      </c>
      <c r="H45" t="str">
        <v/>
      </c>
      <c r="J45" t="str">
        <v/>
      </c>
      <c r="K45" t="str">
        <v/>
      </c>
      <c r="M45" t="str">
        <v/>
      </c>
      <c r="N45" t="str">
        <v/>
      </c>
      <c r="P45" t="str">
        <v/>
      </c>
      <c r="Q45" t="str">
        <v/>
      </c>
    </row>
    <row r="46" spans="1:17" x14ac:dyDescent="0.2">
      <c r="A46" t="str">
        <v/>
      </c>
      <c r="B46" t="str">
        <v/>
      </c>
      <c r="D46" t="str">
        <v/>
      </c>
      <c r="E46" t="str">
        <v/>
      </c>
      <c r="G46" t="str">
        <v/>
      </c>
      <c r="H46" t="str">
        <v/>
      </c>
      <c r="J46" t="str">
        <v/>
      </c>
      <c r="K46" t="str">
        <v/>
      </c>
      <c r="M46" t="str">
        <v/>
      </c>
      <c r="N46" t="str">
        <v/>
      </c>
      <c r="P46" t="str">
        <v/>
      </c>
      <c r="Q46" t="str">
        <v/>
      </c>
    </row>
    <row r="47" spans="1:17" x14ac:dyDescent="0.2">
      <c r="A47" t="str">
        <f t="array" ref="A47:A55">IFERROR(INDEX(Sheet1!$D$104:$D$112,SMALL(IF(((Sheet1!$I$104:$J$112="CONCENTRATION")*(Sheet1!$C$104:$C$112&lt;=99)),ROW(Sheet1!$I$104:$J$112)-ROW(Sheet1!$I$104)+1),ROW()-46),1),"")</f>
        <v/>
      </c>
      <c r="B47" t="str">
        <f t="array" ref="B47:B55">IFERROR(INDEX(Sheet1!$H$104:$H$112,SMALL(IF(((Sheet1!$I$104:$J$112="CONCENTRATION")*(Sheet1!$C$104:$C$112&lt;=99)),ROW(Sheet1!$I$104:$J$112)-ROW(Sheet1!$I$104)+1),ROW()-46),1),"")</f>
        <v/>
      </c>
      <c r="D47" t="str">
        <f t="array" ref="D47:D55">IFERROR(INDEX(Sheet1!$D$104:$D$112,SMALL(IF(((Sheet1!$I$104:$J$112="CONCENTRATION")*(Sheet1!$C$104:$C$112&gt;99)),ROW(Sheet1!$I$104:$J$112)-ROW(Sheet1!$I$104)+1),ROW()-46),1),"")</f>
        <v/>
      </c>
      <c r="E47" t="str">
        <f t="array" ref="E47:E55">IFERROR(INDEX(Sheet1!$H$104:$H$112,SMALL(IF(((Sheet1!$I$104:$J$112="CONCENTRATION")*(Sheet1!$C$104:$C$112&gt;99)),ROW(Sheet1!$I$104:$J$112)-ROW(Sheet1!$I$104)+1),ROW()-46),1),"")</f>
        <v/>
      </c>
      <c r="G47" t="str">
        <f t="array" ref="G47:G55">IFERROR(INDEX(Sheet1!$D$104:$D$112,SMALL(IF(ISNUMBER(MATCH(Sheet1!$B$104:$B$112,ASLIST,0)),ROW(Sheet1!$D$104:$D$112)-ROW(Sheet1!$D$104)+1,IF(ISNUMBER(MATCH(Sheet1!$D$104:$D$112,SINGLEAS,0)),ROW(Sheet1!$D$104:$D$112)-ROW(Sheet1!$D$104)+1)),ROW()-46),1),"")</f>
        <v/>
      </c>
      <c r="H47" t="str">
        <f t="array" ref="H47:H55">IFERROR(INDEX(Sheet1!$H$104:$H$112,SMALL(IF(ISNUMBER(MATCH(Sheet1!$B$104:$B$112,ASLIST,0)),ROW(Sheet1!$D$104:$D$112)-ROW(Sheet1!$D$104)+1,IF(ISNUMBER(MATCH(Sheet1!$D$104:$D$112,SINGLEAS,0)),ROW(Sheet1!$D$104:$D$112)-ROW(Sheet1!$D$104)+1)),ROW()-46),1),"")</f>
        <v/>
      </c>
      <c r="J47" t="str">
        <f t="array" ref="J47:J55">IFERROR(INDEX(Sheet1!$D$104:$D$112,SMALL(IF((Sheet1!$B$104:$B$112&lt;&gt;"JMC")*(Sheet1!$B$104:$B$112&lt;&gt;""),ROW(Sheet1!$B$104:$B$112)-ROW(Sheet1!$B$104)+1),ROW()-46),1),"")</f>
        <v/>
      </c>
      <c r="K47" t="str">
        <f t="array" ref="K47:K55">IFERROR(INDEX(Sheet1!$H$104:$H$112,SMALL(IF((Sheet1!$B$104:$B$112&lt;&gt;"JMC")*(Sheet1!$B$104:$B$112&lt;&gt;""),ROW(Sheet1!$B$104:$B$112)-ROW(Sheet1!$B$104)+1),ROW()-46),1),"")</f>
        <v/>
      </c>
      <c r="M47" t="str">
        <f t="array" ref="M47:M55">IFERROR(INDEX(Sheet1!$D$104:$D$112,SMALL(IF((Sheet1!$C$104:$C$112&gt;99)*(Sheet1!$C$104:$C$112&lt;&gt;"0--"),ROW(Sheet1!$I$104:$J$112)-ROW(Sheet1!$I$104)+1),ROW()-46),1),"")</f>
        <v/>
      </c>
      <c r="N47" t="str">
        <f t="array" ref="N47:N55">IFERROR(INDEX(Sheet1!$H$104:$H$112,SMALL(IF((Sheet1!$C$104:$C$112&gt;99)*(Sheet1!$C$104:$C$112&lt;&gt;"0--"),ROW(Sheet1!$I$104:$J$112)-ROW(Sheet1!$I$104)+1),ROW()-46),1),"")</f>
        <v/>
      </c>
      <c r="P47" t="str">
        <f t="array" ref="P47:P55">IFERROR(INDEX(Sheet1!$D$104:$F$112,SMALL(IF(Sheet1!$B$104:$B$112="HONR",ROW(Sheet1!$B$104:$B$112)-ROW(Sheet1!$B$104)+1),ROW()-46),1),"")</f>
        <v/>
      </c>
      <c r="Q47" t="str">
        <f t="array" ref="Q47:Q55">IFERROR(INDEX(Sheet1!$H$104:$H$112,SMALL(IF(Sheet1!$B$104:$B$112="HONR",ROW(Sheet1!$B$104:$B$112)-ROW(Sheet1!$B$104)+1),ROW()-46),1),"")</f>
        <v/>
      </c>
    </row>
    <row r="48" spans="1:17" x14ac:dyDescent="0.2">
      <c r="A48" t="str">
        <v/>
      </c>
      <c r="B48" t="str">
        <v/>
      </c>
      <c r="D48" t="str">
        <v/>
      </c>
      <c r="E48" t="str">
        <v/>
      </c>
      <c r="G48" t="str">
        <v/>
      </c>
      <c r="H48" t="str">
        <v/>
      </c>
      <c r="J48" t="str">
        <v/>
      </c>
      <c r="K48" t="str">
        <v/>
      </c>
      <c r="M48" t="str">
        <v/>
      </c>
      <c r="N48" t="str">
        <v/>
      </c>
      <c r="P48" t="str">
        <v/>
      </c>
      <c r="Q48" t="str">
        <v/>
      </c>
    </row>
    <row r="49" spans="1:17" x14ac:dyDescent="0.2">
      <c r="A49" t="str">
        <v/>
      </c>
      <c r="B49" t="str">
        <v/>
      </c>
      <c r="D49" t="str">
        <v/>
      </c>
      <c r="E49" t="str">
        <v/>
      </c>
      <c r="G49" t="str">
        <v/>
      </c>
      <c r="H49" t="str">
        <v/>
      </c>
      <c r="J49" t="str">
        <v/>
      </c>
      <c r="K49" t="str">
        <v/>
      </c>
      <c r="M49" t="str">
        <v/>
      </c>
      <c r="N49" t="str">
        <v/>
      </c>
      <c r="P49" t="str">
        <v/>
      </c>
      <c r="Q49" t="str">
        <v/>
      </c>
    </row>
    <row r="50" spans="1:17" x14ac:dyDescent="0.2">
      <c r="A50" t="str">
        <v/>
      </c>
      <c r="B50" t="str">
        <v/>
      </c>
      <c r="D50" t="str">
        <v/>
      </c>
      <c r="E50" t="str">
        <v/>
      </c>
      <c r="G50" t="str">
        <v/>
      </c>
      <c r="H50" t="str">
        <v/>
      </c>
      <c r="J50" t="str">
        <v/>
      </c>
      <c r="K50" t="str">
        <v/>
      </c>
      <c r="M50" t="str">
        <v/>
      </c>
      <c r="N50" t="str">
        <v/>
      </c>
      <c r="P50" t="str">
        <v/>
      </c>
      <c r="Q50" t="str">
        <v/>
      </c>
    </row>
    <row r="51" spans="1:17" x14ac:dyDescent="0.2">
      <c r="A51" t="str">
        <v/>
      </c>
      <c r="B51" t="str">
        <v/>
      </c>
      <c r="D51" t="str">
        <v/>
      </c>
      <c r="E51" t="str">
        <v/>
      </c>
      <c r="G51" t="str">
        <v/>
      </c>
      <c r="H51" t="str">
        <v/>
      </c>
      <c r="J51" t="str">
        <v/>
      </c>
      <c r="K51" t="str">
        <v/>
      </c>
      <c r="M51" t="str">
        <v/>
      </c>
      <c r="N51" t="str">
        <v/>
      </c>
      <c r="P51" t="str">
        <v/>
      </c>
      <c r="Q51" t="str">
        <v/>
      </c>
    </row>
    <row r="52" spans="1:17" x14ac:dyDescent="0.2">
      <c r="A52" t="str">
        <v/>
      </c>
      <c r="B52" t="str">
        <v/>
      </c>
      <c r="D52" t="str">
        <v/>
      </c>
      <c r="E52" t="str">
        <v/>
      </c>
      <c r="G52" t="str">
        <v/>
      </c>
      <c r="H52" t="str">
        <v/>
      </c>
      <c r="J52" t="str">
        <v/>
      </c>
      <c r="K52" t="str">
        <v/>
      </c>
      <c r="M52" t="str">
        <v/>
      </c>
      <c r="N52" t="str">
        <v/>
      </c>
      <c r="P52" t="str">
        <v/>
      </c>
      <c r="Q52" t="str">
        <v/>
      </c>
    </row>
    <row r="53" spans="1:17" x14ac:dyDescent="0.2">
      <c r="A53" t="str">
        <v/>
      </c>
      <c r="B53" t="str">
        <v/>
      </c>
      <c r="D53" t="str">
        <v/>
      </c>
      <c r="E53" t="str">
        <v/>
      </c>
      <c r="G53" t="str">
        <v/>
      </c>
      <c r="H53" t="str">
        <v/>
      </c>
      <c r="J53" t="str">
        <v/>
      </c>
      <c r="K53" t="str">
        <v/>
      </c>
      <c r="M53" t="str">
        <v/>
      </c>
      <c r="N53" t="str">
        <v/>
      </c>
      <c r="P53" t="str">
        <v/>
      </c>
      <c r="Q53" t="str">
        <v/>
      </c>
    </row>
    <row r="54" spans="1:17" x14ac:dyDescent="0.2">
      <c r="A54" t="str">
        <v/>
      </c>
      <c r="B54" t="str">
        <v/>
      </c>
      <c r="D54" t="str">
        <v/>
      </c>
      <c r="E54" t="str">
        <v/>
      </c>
      <c r="G54" t="str">
        <v/>
      </c>
      <c r="H54" t="str">
        <v/>
      </c>
      <c r="J54" t="str">
        <v/>
      </c>
      <c r="K54" t="str">
        <v/>
      </c>
      <c r="M54" t="str">
        <v/>
      </c>
      <c r="N54" t="str">
        <v/>
      </c>
      <c r="P54" t="str">
        <v/>
      </c>
      <c r="Q54" t="str">
        <v/>
      </c>
    </row>
    <row r="55" spans="1:17" x14ac:dyDescent="0.2">
      <c r="A55" t="str">
        <v/>
      </c>
      <c r="B55" t="str">
        <v/>
      </c>
      <c r="D55" t="str">
        <v/>
      </c>
      <c r="E55" t="str">
        <v/>
      </c>
      <c r="G55" t="str">
        <v/>
      </c>
      <c r="H55" t="str">
        <v/>
      </c>
      <c r="J55" t="str">
        <v/>
      </c>
      <c r="K55" t="str">
        <v/>
      </c>
      <c r="M55" t="str">
        <v/>
      </c>
      <c r="N55" t="str">
        <v/>
      </c>
      <c r="P55" t="str">
        <v/>
      </c>
      <c r="Q55" t="str">
        <v/>
      </c>
    </row>
    <row r="56" spans="1:17" x14ac:dyDescent="0.2">
      <c r="A56" t="str">
        <f t="array" ref="A56:A64">IFERROR(INDEX(Sheet1!$D$118:$D$126,SMALL(IF(((Sheet1!$I$118:$J$126="CONCENTRATION")*(Sheet1!$C$118:$C$126&lt;=99)),ROW(Sheet1!$I$118:$J$126)-ROW(Sheet1!$I$118)+1),ROW()-55),1),"")</f>
        <v/>
      </c>
      <c r="B56" t="str">
        <f t="array" ref="B56:B64">IFERROR(INDEX(Sheet1!$H$118:$H$126,SMALL(IF(((Sheet1!$I$118:$J$126="CONCENTRATION")*(Sheet1!$C$118:$C$126&lt;=99)),ROW(Sheet1!$I$118:$J$126)-ROW(Sheet1!$I$118)+1),ROW()-55),1),"")</f>
        <v/>
      </c>
      <c r="D56" t="str">
        <f t="array" ref="D56:D64">IFERROR(INDEX(Sheet1!$D$118:$D$126,SMALL(IF(((Sheet1!$I$118:$J$126="CONCENTRATION")*(Sheet1!$C$118:$C$126&gt;99)),ROW(Sheet1!$I$118:$J$126)-ROW(Sheet1!$I$118)+1),ROW()-55),1),"")</f>
        <v/>
      </c>
      <c r="E56" t="str">
        <f t="array" ref="E56:E64">IFERROR(INDEX(Sheet1!$H$118:$H$126,SMALL(IF(((Sheet1!$I$118:$J$126="CONCENTRATION")*(Sheet1!$C$118:$C$126&gt;99)),ROW(Sheet1!$I$118:$J$126)-ROW(Sheet1!$I$118)+1),ROW()-55),1),"")</f>
        <v/>
      </c>
      <c r="G56" t="str">
        <f t="array" ref="G56:G64">IFERROR(INDEX(Sheet1!$D$118:$D$126,SMALL(IF(ISNUMBER(MATCH(Sheet1!$B$118:$B$126,ASLIST,0)),ROW(Sheet1!$D$118:$D$126)-ROW(Sheet1!$D$118)+1,IF(ISNUMBER(MATCH(Sheet1!$D$118:$D$126,SINGLEAS,0)),ROW(Sheet1!$D$118:$D$126)-ROW(Sheet1!$D$118)+1)),ROW()-55),1),"")</f>
        <v/>
      </c>
      <c r="H56" t="str">
        <f t="array" ref="H56:H64">IFERROR(INDEX(Sheet1!$H$118:$H$126,SMALL(IF(ISNUMBER(MATCH(Sheet1!$B$118:$B$126,ASLIST,0)),ROW(Sheet1!$D$118:$D$126)-ROW(Sheet1!$D$118)+1,IF(ISNUMBER(MATCH(Sheet1!$D$118:$D$126,SINGLEAS,0)),ROW(Sheet1!$D$118:$D$126)-ROW(Sheet1!$D$118)+1)),ROW()-55),1),"")</f>
        <v/>
      </c>
      <c r="J56" t="str">
        <f t="array" ref="J56:J64">IFERROR(INDEX(Sheet1!$D$118:$D$126,SMALL(IF((Sheet1!$B$118:$B$126&lt;&gt;"JMC")*(Sheet1!$B$118:$B$126&lt;&gt;""),ROW(Sheet1!$B$118:$B$126)-ROW(Sheet1!$B$118)+1),ROW()-55),1),"")</f>
        <v/>
      </c>
      <c r="K56" t="str">
        <f t="array" ref="K56:K64">IFERROR(INDEX(Sheet1!$H$118:$H$126,SMALL(IF((Sheet1!$B$118:$B$126&lt;&gt;"JMC")*(Sheet1!$B$118:$B$126&lt;&gt;""),ROW(Sheet1!$B$118:$B$126)-ROW(Sheet1!$B$118)+1),ROW()-55),1),"")</f>
        <v/>
      </c>
      <c r="M56" t="str">
        <f t="array" ref="M56:M64">IFERROR(INDEX(Sheet1!$D$118:$D$126,SMALL(IF((Sheet1!$C$118:$C$126&gt;99)*(Sheet1!$C$118:$C$126&lt;&gt;"0--"),ROW(Sheet1!$I$118:$J$126)-ROW(Sheet1!$I$118)+1),ROW()-55),1),"")</f>
        <v/>
      </c>
      <c r="N56" t="str">
        <f t="array" ref="N56:N64">IFERROR(INDEX(Sheet1!$H$118:$H$126,SMALL(IF((Sheet1!$C$118:$C$126&gt;99)*(Sheet1!$C$118:$C$126&lt;&gt;"0--"),ROW(Sheet1!$I$118:$J$126)-ROW(Sheet1!$I$118)+1),ROW()-55),1),"")</f>
        <v/>
      </c>
      <c r="P56" t="str">
        <f t="array" ref="P56:P64">IFERROR(INDEX(Sheet1!$D$118:$D$126,SMALL(IF(Sheet1!$B$118:$B$126="HONR",ROW(Sheet1!$B$118:$B$126)-ROW(Sheet1!$B$118)+1),ROW()-55),1),"")</f>
        <v/>
      </c>
      <c r="Q56" t="str">
        <f t="array" ref="Q56:Q64">IFERROR(INDEX(Sheet1!$H$118:$H$126,SMALL(IF(Sheet1!$B$118:$B$126="HONR",ROW(Sheet1!$B$118:$B$126)-ROW(Sheet1!$B$118)+1),ROW()-55),1),"")</f>
        <v/>
      </c>
    </row>
    <row r="57" spans="1:17" x14ac:dyDescent="0.2">
      <c r="A57" t="str">
        <v/>
      </c>
      <c r="B57" t="str">
        <v/>
      </c>
      <c r="D57" t="str">
        <v/>
      </c>
      <c r="E57" t="str">
        <v/>
      </c>
      <c r="G57" t="str">
        <v/>
      </c>
      <c r="H57" t="str">
        <v/>
      </c>
      <c r="J57" t="str">
        <v/>
      </c>
      <c r="K57" t="str">
        <v/>
      </c>
      <c r="M57" t="str">
        <v/>
      </c>
      <c r="N57" t="str">
        <v/>
      </c>
      <c r="P57" t="str">
        <v/>
      </c>
      <c r="Q57" t="str">
        <v/>
      </c>
    </row>
    <row r="58" spans="1:17" x14ac:dyDescent="0.2">
      <c r="A58" t="str">
        <v/>
      </c>
      <c r="B58" t="str">
        <v/>
      </c>
      <c r="D58" t="str">
        <v/>
      </c>
      <c r="E58" t="str">
        <v/>
      </c>
      <c r="G58" t="str">
        <v/>
      </c>
      <c r="H58" t="str">
        <v/>
      </c>
      <c r="J58" t="str">
        <v/>
      </c>
      <c r="K58" t="str">
        <v/>
      </c>
      <c r="M58" t="str">
        <v/>
      </c>
      <c r="N58" t="str">
        <v/>
      </c>
      <c r="P58" t="str">
        <v/>
      </c>
      <c r="Q58" t="str">
        <v/>
      </c>
    </row>
    <row r="59" spans="1:17" x14ac:dyDescent="0.2">
      <c r="A59" t="str">
        <v/>
      </c>
      <c r="B59" t="str">
        <v/>
      </c>
      <c r="D59" t="str">
        <v/>
      </c>
      <c r="E59" t="str">
        <v/>
      </c>
      <c r="G59" t="str">
        <v/>
      </c>
      <c r="H59" t="str">
        <v/>
      </c>
      <c r="J59" t="str">
        <v/>
      </c>
      <c r="K59" t="str">
        <v/>
      </c>
      <c r="M59" t="str">
        <v/>
      </c>
      <c r="N59" t="str">
        <v/>
      </c>
      <c r="P59" t="str">
        <v/>
      </c>
      <c r="Q59" t="str">
        <v/>
      </c>
    </row>
    <row r="60" spans="1:17" x14ac:dyDescent="0.2">
      <c r="A60" t="str">
        <v/>
      </c>
      <c r="B60" t="str">
        <v/>
      </c>
      <c r="D60" t="str">
        <v/>
      </c>
      <c r="E60" t="str">
        <v/>
      </c>
      <c r="G60" t="str">
        <v/>
      </c>
      <c r="H60" t="str">
        <v/>
      </c>
      <c r="J60" t="str">
        <v/>
      </c>
      <c r="K60" t="str">
        <v/>
      </c>
      <c r="M60" t="str">
        <v/>
      </c>
      <c r="N60" t="str">
        <v/>
      </c>
      <c r="P60" t="str">
        <v/>
      </c>
      <c r="Q60" t="str">
        <v/>
      </c>
    </row>
    <row r="61" spans="1:17" x14ac:dyDescent="0.2">
      <c r="A61" t="str">
        <v/>
      </c>
      <c r="B61" t="str">
        <v/>
      </c>
      <c r="D61" t="str">
        <v/>
      </c>
      <c r="E61" t="str">
        <v/>
      </c>
      <c r="G61" t="str">
        <v/>
      </c>
      <c r="H61" t="str">
        <v/>
      </c>
      <c r="J61" t="str">
        <v/>
      </c>
      <c r="K61" t="str">
        <v/>
      </c>
      <c r="M61" t="str">
        <v/>
      </c>
      <c r="N61" t="str">
        <v/>
      </c>
      <c r="P61" t="str">
        <v/>
      </c>
      <c r="Q61" t="str">
        <v/>
      </c>
    </row>
    <row r="62" spans="1:17" x14ac:dyDescent="0.2">
      <c r="A62" t="str">
        <v/>
      </c>
      <c r="B62" t="str">
        <v/>
      </c>
      <c r="D62" t="str">
        <v/>
      </c>
      <c r="E62" t="str">
        <v/>
      </c>
      <c r="G62" t="str">
        <v/>
      </c>
      <c r="H62" t="str">
        <v/>
      </c>
      <c r="J62" t="str">
        <v/>
      </c>
      <c r="K62" t="str">
        <v/>
      </c>
      <c r="M62" t="str">
        <v/>
      </c>
      <c r="N62" t="str">
        <v/>
      </c>
      <c r="P62" t="str">
        <v/>
      </c>
      <c r="Q62" t="str">
        <v/>
      </c>
    </row>
    <row r="63" spans="1:17" x14ac:dyDescent="0.2">
      <c r="A63" t="str">
        <v/>
      </c>
      <c r="B63" t="str">
        <v/>
      </c>
      <c r="D63" t="str">
        <v/>
      </c>
      <c r="E63" t="str">
        <v/>
      </c>
      <c r="G63" t="str">
        <v/>
      </c>
      <c r="H63" t="str">
        <v/>
      </c>
      <c r="J63" t="str">
        <v/>
      </c>
      <c r="K63" t="str">
        <v/>
      </c>
      <c r="M63" t="str">
        <v/>
      </c>
      <c r="N63" t="str">
        <v/>
      </c>
      <c r="P63" t="str">
        <v/>
      </c>
      <c r="Q63" t="str">
        <v/>
      </c>
    </row>
    <row r="64" spans="1:17" x14ac:dyDescent="0.2">
      <c r="A64" t="str">
        <v/>
      </c>
      <c r="B64" t="str">
        <v/>
      </c>
      <c r="D64" t="str">
        <v/>
      </c>
      <c r="E64" t="str">
        <v/>
      </c>
      <c r="G64" t="str">
        <v/>
      </c>
      <c r="H64" t="str">
        <v/>
      </c>
      <c r="J64" t="str">
        <v/>
      </c>
      <c r="K64" t="str">
        <v/>
      </c>
      <c r="M64" t="str">
        <v/>
      </c>
      <c r="N64" t="str">
        <v/>
      </c>
      <c r="P64" t="str">
        <v/>
      </c>
      <c r="Q64" t="str">
        <v/>
      </c>
    </row>
    <row r="65" spans="1:17" x14ac:dyDescent="0.2">
      <c r="A65" t="str">
        <f t="array" ref="A65:A73">IFERROR(INDEX(Sheet1!$D$132:$D$140,SMALL(IF(((Sheet1!$I$132:$J$140="CONCENTRATION")*(Sheet1!$C$132:$C$140&lt;=99)),ROW(Sheet1!$I$132:$J$140)-ROW(Sheet1!$I$132)+1),ROW()-64),1),"")</f>
        <v/>
      </c>
      <c r="B65" t="str">
        <f t="array" ref="B65:B73">IFERROR(INDEX(Sheet1!$H$132:$H$140,SMALL(IF(((Sheet1!$I$132:$J$140="CONCENTRATION")*(Sheet1!$C$132:$C$140&lt;=99)),ROW(Sheet1!$I$132:$J$140)-ROW(Sheet1!$I$132)+1),ROW()-64),1),"")</f>
        <v/>
      </c>
      <c r="D65" t="str">
        <f t="array" ref="D65:D73">IFERROR(INDEX(Sheet1!$D$132:$D$140,SMALL(IF(((Sheet1!$I$132:$J$140="CONCENTRATION")*(Sheet1!$C$132:$C$140&gt;99)),ROW(Sheet1!$I$132:$J$140)-ROW(Sheet1!$I$132)+1),ROW()-64),1),"")</f>
        <v/>
      </c>
      <c r="E65" t="str">
        <f t="array" ref="E65:E73">IFERROR(INDEX(Sheet1!$H$132:$H$140,SMALL(IF(((Sheet1!$I$132:$J$140="CONCENTRATION")*(Sheet1!$C$132:$C$140&gt;99)),ROW(Sheet1!$I$132:$J$140)-ROW(Sheet1!$I$132)+1),ROW()-64),1),"")</f>
        <v/>
      </c>
      <c r="G65" t="str">
        <f t="array" ref="G65:G73">IFERROR(INDEX(Sheet1!$D$132:$D$140,SMALL(IF(ISNUMBER(MATCH(Sheet1!$B$132:$B$140,ASLIST,0)),ROW(Sheet1!$D$132:$D$140)-ROW(Sheet1!$D$132)+1,IF(ISNUMBER(MATCH(Sheet1!$D$132:$D$140,SINGLEAS,0)),ROW(Sheet1!$D$132:$D$140)-ROW(Sheet1!$D$132)+1)),ROW()-64),1),"")</f>
        <v/>
      </c>
      <c r="H65" t="str">
        <f t="array" ref="H65:H73">IFERROR(INDEX(Sheet1!$H$132:$H$140,SMALL(IF(ISNUMBER(MATCH(Sheet1!$B$132:$B$140,ASLIST,0)),ROW(Sheet1!$D$132:$D$140)-ROW(Sheet1!$D$132)+1,IF(ISNUMBER(MATCH(Sheet1!$D$132:$D$140,SINGLEAS,0)),ROW(Sheet1!$D$132:$D$140)-ROW(Sheet1!$D$132)+1)),ROW()-64),1),"")</f>
        <v/>
      </c>
      <c r="J65" t="str">
        <f t="array" ref="J65:J73">IFERROR(INDEX(Sheet1!$D$132:$D$140,SMALL(IF((Sheet1!$B$132:$B$140&lt;&gt;"JMC")*(Sheet1!$B$132:$B$140&lt;&gt;""),ROW(Sheet1!$B$132:$B$140)-ROW(Sheet1!$B$132)+1),ROW()-64),1),"")</f>
        <v/>
      </c>
      <c r="K65" t="str">
        <f t="array" ref="K65:K73">IFERROR(INDEX(Sheet1!$H$132:$H$140,SMALL(IF((Sheet1!$B$132:$B$140&lt;&gt;"JMC")*(Sheet1!$B$132:$B$140&lt;&gt;""),ROW(Sheet1!$B$132:$B$140)-ROW(Sheet1!$B$132)+1),ROW()-64),1),"")</f>
        <v/>
      </c>
      <c r="M65" t="str">
        <f t="array" ref="M65:M73">IFERROR(INDEX(Sheet1!$D$132:$D$140,SMALL(IF((Sheet1!$C$132:$C$140&gt;99)*(Sheet1!$C$132:$C$140&lt;&gt;"0--"),ROW(Sheet1!$I$132:$J$140)-ROW(Sheet1!$I$132)+1),ROW()-64),1),"")</f>
        <v/>
      </c>
      <c r="N65" t="str">
        <f t="array" ref="N65:N73">IFERROR(INDEX(Sheet1!$H$132:$H$140,SMALL(IF((Sheet1!$C$132:$C$140&gt;99)*(Sheet1!$C$132:$C$140&lt;&gt;"0--"),ROW(Sheet1!$I$132:$J$140)-ROW(Sheet1!$I$132)+1),ROW()-64),1),"")</f>
        <v/>
      </c>
      <c r="P65" t="str">
        <f t="array" ref="P65:P73">IFERROR(INDEX(Sheet1!$D$132:$D$140,SMALL(IF(Sheet1!$B$132:$B$140="HONR",ROW(Sheet1!$B$132:$B$140)-ROW(Sheet1!$B$132)+1),ROW()-64),1),"")</f>
        <v/>
      </c>
      <c r="Q65" t="str">
        <f t="array" ref="Q65:Q73">IFERROR(INDEX(Sheet1!$H$132:$H$140,SMALL(IF(Sheet1!$B$132:$B$140="HONR",ROW(Sheet1!$B$132:$B$140)-ROW(Sheet1!$B$132)+1),ROW()-64),1),"")</f>
        <v/>
      </c>
    </row>
    <row r="66" spans="1:17" x14ac:dyDescent="0.2">
      <c r="A66" t="str">
        <v/>
      </c>
      <c r="B66" t="str">
        <v/>
      </c>
      <c r="D66" t="str">
        <v/>
      </c>
      <c r="E66" t="str">
        <v/>
      </c>
      <c r="G66" t="str">
        <v/>
      </c>
      <c r="H66" t="str">
        <v/>
      </c>
      <c r="J66" t="str">
        <v/>
      </c>
      <c r="K66" t="str">
        <v/>
      </c>
      <c r="M66" t="str">
        <v/>
      </c>
      <c r="N66" t="str">
        <v/>
      </c>
      <c r="P66" t="str">
        <v/>
      </c>
      <c r="Q66" t="str">
        <v/>
      </c>
    </row>
    <row r="67" spans="1:17" x14ac:dyDescent="0.2">
      <c r="A67" t="str">
        <v/>
      </c>
      <c r="B67" t="str">
        <v/>
      </c>
      <c r="D67" t="str">
        <v/>
      </c>
      <c r="E67" t="str">
        <v/>
      </c>
      <c r="G67" t="str">
        <v/>
      </c>
      <c r="H67" t="str">
        <v/>
      </c>
      <c r="J67" t="str">
        <v/>
      </c>
      <c r="K67" t="str">
        <v/>
      </c>
      <c r="M67" t="str">
        <v/>
      </c>
      <c r="N67" t="str">
        <v/>
      </c>
      <c r="P67" t="str">
        <v/>
      </c>
      <c r="Q67" t="str">
        <v/>
      </c>
    </row>
    <row r="68" spans="1:17" x14ac:dyDescent="0.2">
      <c r="A68" t="str">
        <v/>
      </c>
      <c r="B68" t="str">
        <v/>
      </c>
      <c r="D68" t="str">
        <v/>
      </c>
      <c r="E68" t="str">
        <v/>
      </c>
      <c r="G68" t="str">
        <v/>
      </c>
      <c r="H68" t="str">
        <v/>
      </c>
      <c r="J68" t="str">
        <v/>
      </c>
      <c r="K68" t="str">
        <v/>
      </c>
      <c r="M68" t="str">
        <v/>
      </c>
      <c r="N68" t="str">
        <v/>
      </c>
      <c r="P68" t="str">
        <v/>
      </c>
      <c r="Q68" t="str">
        <v/>
      </c>
    </row>
    <row r="69" spans="1:17" x14ac:dyDescent="0.2">
      <c r="A69" t="str">
        <v/>
      </c>
      <c r="B69" t="str">
        <v/>
      </c>
      <c r="D69" t="str">
        <v/>
      </c>
      <c r="E69" t="str">
        <v/>
      </c>
      <c r="G69" t="str">
        <v/>
      </c>
      <c r="H69" t="str">
        <v/>
      </c>
      <c r="J69" t="str">
        <v/>
      </c>
      <c r="K69" t="str">
        <v/>
      </c>
      <c r="M69" t="str">
        <v/>
      </c>
      <c r="N69" t="str">
        <v/>
      </c>
      <c r="P69" t="str">
        <v/>
      </c>
      <c r="Q69" t="str">
        <v/>
      </c>
    </row>
    <row r="70" spans="1:17" x14ac:dyDescent="0.2">
      <c r="A70" t="str">
        <v/>
      </c>
      <c r="B70" t="str">
        <v/>
      </c>
      <c r="D70" t="str">
        <v/>
      </c>
      <c r="E70" t="str">
        <v/>
      </c>
      <c r="G70" t="str">
        <v/>
      </c>
      <c r="H70" t="str">
        <v/>
      </c>
      <c r="J70" t="str">
        <v/>
      </c>
      <c r="K70" t="str">
        <v/>
      </c>
      <c r="M70" t="str">
        <v/>
      </c>
      <c r="N70" t="str">
        <v/>
      </c>
      <c r="P70" t="str">
        <v/>
      </c>
      <c r="Q70" t="str">
        <v/>
      </c>
    </row>
    <row r="71" spans="1:17" x14ac:dyDescent="0.2">
      <c r="A71" t="str">
        <v/>
      </c>
      <c r="B71" t="str">
        <v/>
      </c>
      <c r="D71" t="str">
        <v/>
      </c>
      <c r="E71" t="str">
        <v/>
      </c>
      <c r="G71" t="str">
        <v/>
      </c>
      <c r="H71" t="str">
        <v/>
      </c>
      <c r="J71" t="str">
        <v/>
      </c>
      <c r="K71" t="str">
        <v/>
      </c>
      <c r="M71" t="str">
        <v/>
      </c>
      <c r="N71" t="str">
        <v/>
      </c>
      <c r="P71" t="str">
        <v/>
      </c>
      <c r="Q71" t="str">
        <v/>
      </c>
    </row>
    <row r="72" spans="1:17" x14ac:dyDescent="0.2">
      <c r="A72" t="str">
        <v/>
      </c>
      <c r="B72" t="str">
        <v/>
      </c>
      <c r="D72" t="str">
        <v/>
      </c>
      <c r="E72" t="str">
        <v/>
      </c>
      <c r="G72" t="str">
        <v/>
      </c>
      <c r="H72" t="str">
        <v/>
      </c>
      <c r="J72" t="str">
        <v/>
      </c>
      <c r="K72" t="str">
        <v/>
      </c>
      <c r="M72" t="str">
        <v/>
      </c>
      <c r="N72" t="str">
        <v/>
      </c>
      <c r="P72" t="str">
        <v/>
      </c>
      <c r="Q72" t="str">
        <v/>
      </c>
    </row>
    <row r="73" spans="1:17" x14ac:dyDescent="0.2">
      <c r="A73" t="str">
        <v/>
      </c>
      <c r="B73" t="str">
        <v/>
      </c>
      <c r="D73" t="str">
        <v/>
      </c>
      <c r="E73" t="str">
        <v/>
      </c>
      <c r="G73" t="str">
        <v/>
      </c>
      <c r="H73" t="str">
        <v/>
      </c>
      <c r="J73" t="str">
        <v/>
      </c>
      <c r="K73" t="str">
        <v/>
      </c>
      <c r="M73" t="str">
        <v/>
      </c>
      <c r="N73" t="str">
        <v/>
      </c>
      <c r="P73" t="str">
        <v/>
      </c>
      <c r="Q73" t="str">
        <v/>
      </c>
    </row>
    <row r="74" spans="1:17" x14ac:dyDescent="0.2">
      <c r="A74" t="str">
        <f t="array" ref="A74:A82">IFERROR(INDEX(Sheet1!$D$154:$D$162,SMALL(IF(((Sheet1!$I$154:$J$162="CONCENTRATION")*(Sheet1!$C$154:$C$162&lt;=99)),ROW(Sheet1!$I$154:$J$162)-ROW(Sheet1!$I$154)+1),ROW()-73),1),"")</f>
        <v/>
      </c>
      <c r="B74" t="str">
        <f t="array" ref="B74:B82">IFERROR(INDEX(Sheet1!$H$154:$H$162,SMALL(IF(((Sheet1!$I$154:$J$162="CONCENTRATION")*(Sheet1!$C$154:$C$162&lt;=99)),ROW(Sheet1!$I$154:$J$162)-ROW(Sheet1!$I$154)+1),ROW()-73),1),"")</f>
        <v/>
      </c>
      <c r="D74" t="str">
        <f t="array" ref="D74:D82">IFERROR(INDEX(Sheet1!$D$154:$D$162,SMALL(IF(((Sheet1!$I$154:$J$162="CONCENTRATION")*(Sheet1!$C$154:$C$162&gt;99)),ROW(Sheet1!$I$154:$J$162)-ROW(Sheet1!$I$154)+1),ROW()-73),1),"")</f>
        <v/>
      </c>
      <c r="E74" t="str">
        <f t="array" ref="E74:E82">IFERROR(INDEX(Sheet1!$H$154:$H$162,SMALL(IF(((Sheet1!$I$154:$J$162="CONCENTRATION")*(Sheet1!$C$154:$C$162&gt;99)),ROW(Sheet1!$I$154:$J$162)-ROW(Sheet1!$I$154)+1),ROW()-73),1),"")</f>
        <v/>
      </c>
      <c r="G74" t="str">
        <f t="array" ref="G74:G82">IFERROR(INDEX(Sheet1!$D$154:$D$162,SMALL(IF(ISNUMBER(MATCH(Sheet1!$B$154:$B$162,ASLIST,0)),ROW(Sheet1!$D$154:$D$162)-ROW(Sheet1!$D$154)+1,IF(ISNUMBER(MATCH(Sheet1!$D$154:$D$162,SINGLEAS,0)),ROW(Sheet1!$D$154:$D$162)-ROW(Sheet1!$D$154)+1)),ROW()-73),1),"")</f>
        <v/>
      </c>
      <c r="H74" t="str">
        <f t="array" ref="H74:H82">IFERROR(INDEX(Sheet1!$H$154:$H$162,SMALL(IF(ISNUMBER(MATCH(Sheet1!$B$154:$B$162,ASLIST,0)),ROW(Sheet1!$D$154:$D$162)-ROW(Sheet1!$D$154)+1,IF(ISNUMBER(MATCH(Sheet1!$D$154:$D$162,SINGLEAS,0)),ROW(Sheet1!$D$154:$D$162)-ROW(Sheet1!$D$154)+1)),ROW()-73),1),"")</f>
        <v/>
      </c>
      <c r="J74" t="str">
        <f t="array" ref="J74:J82">IFERROR(INDEX(Sheet1!$D$154:$D$162,SMALL(IF((Sheet1!$B$154:$B$162&lt;&gt;"JMC")*(Sheet1!$B$154:$B$162&lt;&gt;""),ROW(Sheet1!$B$154:$B$162)-ROW(Sheet1!$B$154)+1),ROW()-73),1),"")</f>
        <v/>
      </c>
      <c r="K74" t="str">
        <f t="array" ref="K74:K82">IFERROR(INDEX(Sheet1!$H$154:$H$162,SMALL(IF((Sheet1!$B$154:$B$162&lt;&gt;"JMC")*(Sheet1!$B$154:$B$162&lt;&gt;""),ROW(Sheet1!$B$154:$B$162)-ROW(Sheet1!$B$154)+1),ROW()-73),1),"")</f>
        <v/>
      </c>
      <c r="M74" t="str">
        <f t="array" ref="M74:M82">IFERROR(INDEX(Sheet1!$D$154:$D$162,SMALL(IF((Sheet1!$C$154:$C$162&gt;99)*(Sheet1!$C$154:$C$162&lt;&gt;"0--"),ROW(Sheet1!$I$154:$J$162)-ROW(Sheet1!$I$154)+1),ROW()-73),1),"")</f>
        <v/>
      </c>
      <c r="N74" t="str">
        <f t="array" ref="N74:N82">IFERROR(INDEX(Sheet1!$H$154:$H$162,SMALL(IF((Sheet1!$C$154:$C$162&gt;99)*(Sheet1!$C$154:$C$162&lt;&gt;"0--"),ROW(Sheet1!$I$154:$J$162)-ROW(Sheet1!$I$154)+1),ROW()-73),1),"")</f>
        <v/>
      </c>
      <c r="P74" t="str">
        <f t="array" ref="P74:P82">IFERROR(INDEX(Sheet1!$D$154:$D$162,SMALL(IF(Sheet1!$B$154:$B$162="HONR",ROW(Sheet1!$B$154:$B$162)-ROW(Sheet1!$B$154)+1),ROW()-73),1),"")</f>
        <v/>
      </c>
      <c r="Q74" t="str">
        <f t="array" ref="Q74:Q82">IFERROR(INDEX(Sheet1!$H$154:$H$162,SMALL(IF(Sheet1!$B$154:$B$162="HONR",ROW(Sheet1!$B$154:$B$162)-ROW(Sheet1!$B$154)+1),ROW()-73),1),"")</f>
        <v/>
      </c>
    </row>
    <row r="75" spans="1:17" x14ac:dyDescent="0.2">
      <c r="A75" t="str">
        <v/>
      </c>
      <c r="B75" t="str">
        <v/>
      </c>
      <c r="D75" t="str">
        <v/>
      </c>
      <c r="E75" t="str">
        <v/>
      </c>
      <c r="G75" t="str">
        <v/>
      </c>
      <c r="H75" t="str">
        <v/>
      </c>
      <c r="J75" t="str">
        <v/>
      </c>
      <c r="K75" t="str">
        <v/>
      </c>
      <c r="M75" t="str">
        <v/>
      </c>
      <c r="N75" t="str">
        <v/>
      </c>
      <c r="P75" t="str">
        <v/>
      </c>
      <c r="Q75" t="str">
        <v/>
      </c>
    </row>
    <row r="76" spans="1:17" x14ac:dyDescent="0.2">
      <c r="A76" t="str">
        <v/>
      </c>
      <c r="B76" t="str">
        <v/>
      </c>
      <c r="D76" t="str">
        <v/>
      </c>
      <c r="E76" t="str">
        <v/>
      </c>
      <c r="G76" t="str">
        <v/>
      </c>
      <c r="H76" t="str">
        <v/>
      </c>
      <c r="J76" t="str">
        <v/>
      </c>
      <c r="K76" t="str">
        <v/>
      </c>
      <c r="M76" t="str">
        <v/>
      </c>
      <c r="N76" t="str">
        <v/>
      </c>
      <c r="P76" t="str">
        <v/>
      </c>
      <c r="Q76" t="str">
        <v/>
      </c>
    </row>
    <row r="77" spans="1:17" x14ac:dyDescent="0.2">
      <c r="A77" t="str">
        <v/>
      </c>
      <c r="B77" t="str">
        <v/>
      </c>
      <c r="D77" t="str">
        <v/>
      </c>
      <c r="E77" t="str">
        <v/>
      </c>
      <c r="G77" t="str">
        <v/>
      </c>
      <c r="H77" t="str">
        <v/>
      </c>
      <c r="J77" t="str">
        <v/>
      </c>
      <c r="K77" t="str">
        <v/>
      </c>
      <c r="M77" t="str">
        <v/>
      </c>
      <c r="N77" t="str">
        <v/>
      </c>
      <c r="P77" t="str">
        <v/>
      </c>
      <c r="Q77" t="str">
        <v/>
      </c>
    </row>
    <row r="78" spans="1:17" x14ac:dyDescent="0.2">
      <c r="A78" t="str">
        <v/>
      </c>
      <c r="B78" t="str">
        <v/>
      </c>
      <c r="D78" t="str">
        <v/>
      </c>
      <c r="E78" t="str">
        <v/>
      </c>
      <c r="G78" t="str">
        <v/>
      </c>
      <c r="H78" t="str">
        <v/>
      </c>
      <c r="J78" t="str">
        <v/>
      </c>
      <c r="K78" t="str">
        <v/>
      </c>
      <c r="M78" t="str">
        <v/>
      </c>
      <c r="N78" t="str">
        <v/>
      </c>
      <c r="P78" t="str">
        <v/>
      </c>
      <c r="Q78" t="str">
        <v/>
      </c>
    </row>
    <row r="79" spans="1:17" x14ac:dyDescent="0.2">
      <c r="A79" t="str">
        <v/>
      </c>
      <c r="B79" t="str">
        <v/>
      </c>
      <c r="D79" t="str">
        <v/>
      </c>
      <c r="E79" t="str">
        <v/>
      </c>
      <c r="G79" t="str">
        <v/>
      </c>
      <c r="H79" t="str">
        <v/>
      </c>
      <c r="J79" t="str">
        <v/>
      </c>
      <c r="K79" t="str">
        <v/>
      </c>
      <c r="M79" t="str">
        <v/>
      </c>
      <c r="N79" t="str">
        <v/>
      </c>
      <c r="P79" t="str">
        <v/>
      </c>
      <c r="Q79" t="str">
        <v/>
      </c>
    </row>
    <row r="80" spans="1:17" x14ac:dyDescent="0.2">
      <c r="A80" t="str">
        <v/>
      </c>
      <c r="B80" t="str">
        <v/>
      </c>
      <c r="D80" t="str">
        <v/>
      </c>
      <c r="E80" t="str">
        <v/>
      </c>
      <c r="G80" t="str">
        <v/>
      </c>
      <c r="H80" t="str">
        <v/>
      </c>
      <c r="J80" t="str">
        <v/>
      </c>
      <c r="K80" t="str">
        <v/>
      </c>
      <c r="M80" t="str">
        <v/>
      </c>
      <c r="N80" t="str">
        <v/>
      </c>
      <c r="P80" t="str">
        <v/>
      </c>
      <c r="Q80" t="str">
        <v/>
      </c>
    </row>
    <row r="81" spans="1:17" x14ac:dyDescent="0.2">
      <c r="A81" t="str">
        <v/>
      </c>
      <c r="B81" t="str">
        <v/>
      </c>
      <c r="D81" t="str">
        <v/>
      </c>
      <c r="E81" t="str">
        <v/>
      </c>
      <c r="G81" t="str">
        <v/>
      </c>
      <c r="H81" t="str">
        <v/>
      </c>
      <c r="J81" t="str">
        <v/>
      </c>
      <c r="K81" t="str">
        <v/>
      </c>
      <c r="M81" t="str">
        <v/>
      </c>
      <c r="N81" t="str">
        <v/>
      </c>
      <c r="P81" t="str">
        <v/>
      </c>
      <c r="Q81" t="str">
        <v/>
      </c>
    </row>
    <row r="82" spans="1:17" x14ac:dyDescent="0.2">
      <c r="A82" t="str">
        <v/>
      </c>
      <c r="B82" t="str">
        <v/>
      </c>
      <c r="D82" t="str">
        <v/>
      </c>
      <c r="E82" t="str">
        <v/>
      </c>
      <c r="G82" t="str">
        <v/>
      </c>
      <c r="H82" t="str">
        <v/>
      </c>
      <c r="J82" t="str">
        <v/>
      </c>
      <c r="K82" t="str">
        <v/>
      </c>
      <c r="M82" t="str">
        <v/>
      </c>
      <c r="N82" t="str">
        <v/>
      </c>
      <c r="P82" t="str">
        <v/>
      </c>
      <c r="Q82" t="str">
        <v/>
      </c>
    </row>
    <row r="83" spans="1:17" x14ac:dyDescent="0.2">
      <c r="A83" t="str">
        <f t="array" ref="A83:A91">IFERROR(INDEX(Sheet1!$D$168:$D$176,SMALL(IF(((Sheet1!$I$168:$J$176="CONCENTRATION")*(Sheet1!$C$168:$C$176&lt;=99)),ROW(Sheet1!$I$168:$J$176)-ROW(Sheet1!$I$168)+1),ROW()-82),1),"")</f>
        <v/>
      </c>
      <c r="B83" t="str">
        <f t="array" ref="B83:B91">IFERROR(INDEX(Sheet1!$H$168:$H$176,SMALL(IF(((Sheet1!$I$168:$J$176="CONCENTRATION")*(Sheet1!$C$168:$C$176&lt;=99)),ROW(Sheet1!$I$168:$J$176)-ROW(Sheet1!$I$168)+1),ROW()-82),1),"")</f>
        <v/>
      </c>
      <c r="D83" t="str">
        <f t="array" ref="D83:D91">IFERROR(INDEX(Sheet1!$D$168:$D$176,SMALL(IF(((Sheet1!$I$168:$J$176="CONCENTRATION")*(Sheet1!$C$168:$C$176&gt;99)),ROW(Sheet1!$I$168:$J$176)-ROW(Sheet1!$I$168)+1),ROW()-82),1),"")</f>
        <v/>
      </c>
      <c r="E83" t="str">
        <f t="array" ref="E83:E91">IFERROR(INDEX(Sheet1!$H$168:$H$176,SMALL(IF(((Sheet1!$I$168:$J$176="CONCENTRATION")*(Sheet1!$C$168:$C$176&gt;99)),ROW(Sheet1!$I$168:$J$176)-ROW(Sheet1!$I$168)+1),ROW()-82),1),"")</f>
        <v/>
      </c>
      <c r="G83" t="str">
        <f t="array" ref="G83:G91">IFERROR(INDEX(Sheet1!$D$168:$D$176,SMALL(IF(ISNUMBER(MATCH(Sheet1!$B$168:$B$176,ASLIST,0)),ROW(Sheet1!$D$168:$D$176)-ROW(Sheet1!$D$168)+1,IF(ISNUMBER(MATCH(Sheet1!$D$168:$D$176,SINGLEAS,0)),ROW(Sheet1!$D$168:$D$176)-ROW(Sheet1!$D$168)+1)),ROW()-82),1),"")</f>
        <v/>
      </c>
      <c r="H83" t="str">
        <f t="array" ref="H83:H91">IFERROR(INDEX(Sheet1!$H$168:$H$176,SMALL(IF(ISNUMBER(MATCH(Sheet1!$B$168:$B$176,ASLIST,0)),ROW(Sheet1!$D$168:$D$176)-ROW(Sheet1!$D$168)+1,IF(ISNUMBER(MATCH(Sheet1!$D$168:$D$176,SINGLEAS,0)),ROW(Sheet1!$D$168:$D$176)-ROW(Sheet1!$D$168)+1)),ROW()-82),1),"")</f>
        <v/>
      </c>
      <c r="J83" t="str">
        <f t="array" ref="J83:J91">IFERROR(INDEX(Sheet1!$D$168:$D$176,SMALL(IF((Sheet1!$B$168:$B$176&lt;&gt;"JMC")*(Sheet1!$B$168:$B$176&lt;&gt;""),ROW(Sheet1!$B$168:$B$176)-ROW(Sheet1!$B$168)+1),ROW()-82),1),"")</f>
        <v/>
      </c>
      <c r="K83" t="str">
        <f t="array" ref="K83:K91">IFERROR(INDEX(Sheet1!$H$168:$H$176,SMALL(IF((Sheet1!$B$168:$B$176&lt;&gt;"JMC")*(Sheet1!$B$168:$B$176&lt;&gt;""),ROW(Sheet1!$B$168:$B$176)-ROW(Sheet1!$B$168)+1),ROW()-82),1),"")</f>
        <v/>
      </c>
      <c r="M83" t="str">
        <f t="array" ref="M83:M91">IFERROR(INDEX(Sheet1!$D$168:$D$176,SMALL(IF((Sheet1!$C$168:$C$176&gt;99)*(Sheet1!$C$168:$C$176&lt;&gt;"0--"),ROW(Sheet1!$I$168:$J$176)-ROW(Sheet1!$I$168)+1),ROW()-82),1),"")</f>
        <v/>
      </c>
      <c r="N83" t="str">
        <f t="array" ref="N83:N91">IFERROR(INDEX(Sheet1!$H$168:$H$176,SMALL(IF((Sheet1!$C$168:$C$176&gt;99)*(Sheet1!$C$168:$C$176&lt;&gt;"0--"),ROW(Sheet1!$I$168:$J$176)-ROW(Sheet1!$I$168)+1),ROW()-82),1),"")</f>
        <v/>
      </c>
      <c r="P83" t="str">
        <f t="array" ref="P83:P91">IFERROR(INDEX(Sheet1!$D$168:$D$176,SMALL(IF(Sheet1!$B$168:$B$176="HONR",ROW(Sheet1!$B$168:$B$176)-ROW(Sheet1!$B$168)+1),ROW()-82),1),"")</f>
        <v/>
      </c>
      <c r="Q83" t="str">
        <f t="array" ref="Q83:Q91">IFERROR(INDEX(Sheet1!$H$168:$H$176,SMALL(IF(Sheet1!$B$168:$B$176="HONR",ROW(Sheet1!$B$168:$B$176)-ROW(Sheet1!$B$168)+1),ROW()-82),1),"")</f>
        <v/>
      </c>
    </row>
    <row r="84" spans="1:17" x14ac:dyDescent="0.2">
      <c r="A84" t="str">
        <v/>
      </c>
      <c r="B84" t="str">
        <v/>
      </c>
      <c r="D84" t="str">
        <v/>
      </c>
      <c r="E84" t="str">
        <v/>
      </c>
      <c r="G84" t="str">
        <v/>
      </c>
      <c r="H84" t="str">
        <v/>
      </c>
      <c r="J84" t="str">
        <v/>
      </c>
      <c r="K84" t="str">
        <v/>
      </c>
      <c r="M84" t="str">
        <v/>
      </c>
      <c r="N84" t="str">
        <v/>
      </c>
      <c r="P84" t="str">
        <v/>
      </c>
      <c r="Q84" t="str">
        <v/>
      </c>
    </row>
    <row r="85" spans="1:17" x14ac:dyDescent="0.2">
      <c r="A85" t="str">
        <v/>
      </c>
      <c r="B85" t="str">
        <v/>
      </c>
      <c r="D85" t="str">
        <v/>
      </c>
      <c r="E85" t="str">
        <v/>
      </c>
      <c r="G85" t="str">
        <v/>
      </c>
      <c r="H85" t="str">
        <v/>
      </c>
      <c r="J85" t="str">
        <v/>
      </c>
      <c r="K85" t="str">
        <v/>
      </c>
      <c r="M85" t="str">
        <v/>
      </c>
      <c r="N85" t="str">
        <v/>
      </c>
      <c r="P85" t="str">
        <v/>
      </c>
      <c r="Q85" t="str">
        <v/>
      </c>
    </row>
    <row r="86" spans="1:17" x14ac:dyDescent="0.2">
      <c r="A86" t="str">
        <v/>
      </c>
      <c r="B86" t="str">
        <v/>
      </c>
      <c r="D86" t="str">
        <v/>
      </c>
      <c r="E86" t="str">
        <v/>
      </c>
      <c r="G86" t="str">
        <v/>
      </c>
      <c r="H86" t="str">
        <v/>
      </c>
      <c r="J86" t="str">
        <v/>
      </c>
      <c r="K86" t="str">
        <v/>
      </c>
      <c r="M86" t="str">
        <v/>
      </c>
      <c r="N86" t="str">
        <v/>
      </c>
      <c r="P86" t="str">
        <v/>
      </c>
      <c r="Q86" t="str">
        <v/>
      </c>
    </row>
    <row r="87" spans="1:17" x14ac:dyDescent="0.2">
      <c r="A87" t="str">
        <v/>
      </c>
      <c r="B87" t="str">
        <v/>
      </c>
      <c r="D87" t="str">
        <v/>
      </c>
      <c r="E87" t="str">
        <v/>
      </c>
      <c r="G87" t="str">
        <v/>
      </c>
      <c r="H87" t="str">
        <v/>
      </c>
      <c r="J87" t="str">
        <v/>
      </c>
      <c r="K87" t="str">
        <v/>
      </c>
      <c r="M87" t="str">
        <v/>
      </c>
      <c r="N87" t="str">
        <v/>
      </c>
      <c r="P87" t="str">
        <v/>
      </c>
      <c r="Q87" t="str">
        <v/>
      </c>
    </row>
    <row r="88" spans="1:17" x14ac:dyDescent="0.2">
      <c r="A88" t="str">
        <v/>
      </c>
      <c r="B88" t="str">
        <v/>
      </c>
      <c r="D88" t="str">
        <v/>
      </c>
      <c r="E88" t="str">
        <v/>
      </c>
      <c r="G88" t="str">
        <v/>
      </c>
      <c r="H88" t="str">
        <v/>
      </c>
      <c r="J88" t="str">
        <v/>
      </c>
      <c r="K88" t="str">
        <v/>
      </c>
      <c r="M88" t="str">
        <v/>
      </c>
      <c r="N88" t="str">
        <v/>
      </c>
      <c r="P88" t="str">
        <v/>
      </c>
      <c r="Q88" t="str">
        <v/>
      </c>
    </row>
    <row r="89" spans="1:17" x14ac:dyDescent="0.2">
      <c r="A89" t="str">
        <v/>
      </c>
      <c r="B89" t="str">
        <v/>
      </c>
      <c r="D89" t="str">
        <v/>
      </c>
      <c r="E89" t="str">
        <v/>
      </c>
      <c r="G89" t="str">
        <v/>
      </c>
      <c r="H89" t="str">
        <v/>
      </c>
      <c r="J89" t="str">
        <v/>
      </c>
      <c r="K89" t="str">
        <v/>
      </c>
      <c r="M89" t="str">
        <v/>
      </c>
      <c r="N89" t="str">
        <v/>
      </c>
      <c r="P89" t="str">
        <v/>
      </c>
      <c r="Q89" t="str">
        <v/>
      </c>
    </row>
    <row r="90" spans="1:17" x14ac:dyDescent="0.2">
      <c r="A90" t="str">
        <v/>
      </c>
      <c r="B90" t="str">
        <v/>
      </c>
      <c r="D90" t="str">
        <v/>
      </c>
      <c r="E90" t="str">
        <v/>
      </c>
      <c r="G90" t="str">
        <v/>
      </c>
      <c r="H90" t="str">
        <v/>
      </c>
      <c r="J90" t="str">
        <v/>
      </c>
      <c r="K90" t="str">
        <v/>
      </c>
      <c r="M90" t="str">
        <v/>
      </c>
      <c r="N90" t="str">
        <v/>
      </c>
      <c r="P90" t="str">
        <v/>
      </c>
      <c r="Q90" t="str">
        <v/>
      </c>
    </row>
    <row r="91" spans="1:17" x14ac:dyDescent="0.2">
      <c r="A91" t="str">
        <v/>
      </c>
      <c r="B91" t="str">
        <v/>
      </c>
      <c r="D91" t="str">
        <v/>
      </c>
      <c r="E91" t="str">
        <v/>
      </c>
      <c r="G91" t="str">
        <v/>
      </c>
      <c r="H91" t="str">
        <v/>
      </c>
      <c r="J91" t="str">
        <v/>
      </c>
      <c r="K91" t="str">
        <v/>
      </c>
      <c r="M91" t="str">
        <v/>
      </c>
      <c r="N91" t="str">
        <v/>
      </c>
      <c r="P91" t="str">
        <v/>
      </c>
      <c r="Q91" t="str">
        <v/>
      </c>
    </row>
    <row r="92" spans="1:17" x14ac:dyDescent="0.2">
      <c r="A92" t="str">
        <f t="array" ref="A92:A100">IFERROR(INDEX(Sheet1!$D$183:$D$191,SMALL(IF(((Sheet1!$I$183:$J$191="CONCENTRATION")*(Sheet1!$C$183:$C$191&lt;=99)),ROW(Sheet1!$I$183:$J$191)-ROW(Sheet1!$I$183)+1),ROW()-91),1),"")</f>
        <v/>
      </c>
      <c r="B92" t="str">
        <f t="array" ref="B92:B100">IFERROR(INDEX(Sheet1!$H$183:$H$191,SMALL(IF(((Sheet1!$I$183:$J$191="CONCENTRATION")*(Sheet1!$C$183:$C$191&lt;=99)),ROW(Sheet1!$I$183:$J$191)-ROW(Sheet1!$I$183)+1),ROW()-91),1),"")</f>
        <v/>
      </c>
      <c r="D92" t="str">
        <f t="array" ref="D92:D100">IFERROR(INDEX(Sheet1!$D$183:$D$191,SMALL(IF(((Sheet1!$I$183:$J$191="CONCENTRATION")*(Sheet1!$C$183:$C$191&gt;99)),ROW(Sheet1!$I$183:$J$191)-ROW(Sheet1!$I$183)+1),ROW()-91),1),"")</f>
        <v/>
      </c>
      <c r="E92" t="str">
        <f t="array" ref="E92:E100">IFERROR(INDEX(Sheet1!$H$183:$H$191,SMALL(IF(((Sheet1!$I$183:$J$191="CONCENTRATION")*(Sheet1!$C$183:$C$191&gt;99)),ROW(Sheet1!$I$183:$J$191)-ROW(Sheet1!$I$183)+1),ROW()-91),1),"")</f>
        <v/>
      </c>
      <c r="G92" t="str">
        <f t="array" ref="G92:G100">IFERROR(INDEX(Sheet1!$D$183:$D$191,SMALL(IF(ISNUMBER(MATCH(Sheet1!$B$183:$B$191,ASLIST,0)),ROW(Sheet1!$D$183:$D$191)-ROW(Sheet1!$D$183)+1,IF(ISNUMBER(MATCH(Sheet1!$D$183:$D$191,SINGLEAS,0)),ROW(Sheet1!$D$183:$D$191)-ROW(Sheet1!$D$183)+1)),ROW()-91),1),"")</f>
        <v/>
      </c>
      <c r="H92" t="str">
        <f t="array" ref="H92:H100">IFERROR(INDEX(Sheet1!$H$183:$H$191,SMALL(IF(ISNUMBER(MATCH(Sheet1!$B$183:$B$191,ASLIST,0)),ROW(Sheet1!$D$183:$D$191)-ROW(Sheet1!$D$183)+1,IF(ISNUMBER(MATCH(Sheet1!$D$183:$D$191,SINGLEAS,0)),ROW(Sheet1!$D$183:$D$191)-ROW(Sheet1!$D$183)+1)),ROW()-91),1),"")</f>
        <v/>
      </c>
      <c r="J92" t="str">
        <f t="array" ref="J92:J100">IFERROR(INDEX(Sheet1!$D$183:$D$191,SMALL(IF((Sheet1!$B$183:$B$191&lt;&gt;"JMC")*(Sheet1!$B$183:$B$191&lt;&gt;""),ROW(Sheet1!$B$183:$B$191)-ROW(Sheet1!$B$183)+1),ROW()-91),1),"")</f>
        <v/>
      </c>
      <c r="K92" t="str">
        <f t="array" ref="K92:K100">IFERROR(INDEX(Sheet1!$H$183:$H$191,SMALL(IF((Sheet1!$B$183:$B$191&lt;&gt;"JMC")*(Sheet1!$B$183:$B$191&lt;&gt;""),ROW(Sheet1!$B$183:$B$191)-ROW(Sheet1!$B$183)+1),ROW()-91),1),"")</f>
        <v/>
      </c>
      <c r="M92" t="str">
        <f t="array" ref="M92:M100">IFERROR(INDEX(Sheet1!$D$183:$D$191,SMALL(IF((Sheet1!$C$183:$C$191&gt;99)*(Sheet1!$C$183:$C$191&lt;&gt;"0--"),ROW(Sheet1!$I$183:$J$191)-ROW(Sheet1!$I$183)+1),ROW()-91),1),"")</f>
        <v/>
      </c>
      <c r="N92" t="str">
        <f t="array" ref="N92:N100">IFERROR(INDEX(Sheet1!$H$183:$H$191,SMALL(IF((Sheet1!$C$183:$C$191&gt;99)*(Sheet1!$C$183:$C$191&lt;&gt;"0--"),ROW(Sheet1!$I$183:$J$191)-ROW(Sheet1!$I$183)+1),ROW()-91),1),"")</f>
        <v/>
      </c>
      <c r="P92" t="str">
        <f t="array" ref="P92:P100">IFERROR(INDEX(Sheet1!$D$183:$D$191,SMALL(IF(Sheet1!$B$183:$B$191="HONR",ROW(Sheet1!$B$183:$B$191)-ROW(Sheet1!$B$183)+1),ROW()-91),1),"")</f>
        <v/>
      </c>
      <c r="Q92" t="str">
        <f t="array" ref="Q92:Q100">IFERROR(INDEX(Sheet1!$H$183:$H$191,SMALL(IF(Sheet1!$B$183:$B$191="HONR",ROW(Sheet1!$B$183:$B$191)-ROW(Sheet1!$B$183)+1),ROW()-91),1),"")</f>
        <v/>
      </c>
    </row>
    <row r="93" spans="1:17" x14ac:dyDescent="0.2">
      <c r="A93" t="str">
        <v/>
      </c>
      <c r="B93" t="str">
        <v/>
      </c>
      <c r="D93" t="str">
        <v/>
      </c>
      <c r="E93" t="str">
        <v/>
      </c>
      <c r="G93" t="str">
        <v/>
      </c>
      <c r="H93" t="str">
        <v/>
      </c>
      <c r="J93" t="str">
        <v/>
      </c>
      <c r="K93" t="str">
        <v/>
      </c>
      <c r="M93" t="str">
        <v/>
      </c>
      <c r="N93" t="str">
        <v/>
      </c>
      <c r="P93" t="str">
        <v/>
      </c>
      <c r="Q93" t="str">
        <v/>
      </c>
    </row>
    <row r="94" spans="1:17" x14ac:dyDescent="0.2">
      <c r="A94" t="str">
        <v/>
      </c>
      <c r="B94" t="str">
        <v/>
      </c>
      <c r="D94" t="str">
        <v/>
      </c>
      <c r="E94" t="str">
        <v/>
      </c>
      <c r="G94" t="str">
        <v/>
      </c>
      <c r="H94" t="str">
        <v/>
      </c>
      <c r="J94" t="str">
        <v/>
      </c>
      <c r="K94" t="str">
        <v/>
      </c>
      <c r="M94" t="str">
        <v/>
      </c>
      <c r="N94" t="str">
        <v/>
      </c>
      <c r="P94" t="str">
        <v/>
      </c>
      <c r="Q94" t="str">
        <v/>
      </c>
    </row>
    <row r="95" spans="1:17" x14ac:dyDescent="0.2">
      <c r="A95" t="str">
        <v/>
      </c>
      <c r="B95" t="str">
        <v/>
      </c>
      <c r="D95" t="str">
        <v/>
      </c>
      <c r="E95" t="str">
        <v/>
      </c>
      <c r="G95" t="str">
        <v/>
      </c>
      <c r="H95" t="str">
        <v/>
      </c>
      <c r="J95" t="str">
        <v/>
      </c>
      <c r="K95" t="str">
        <v/>
      </c>
      <c r="M95" t="str">
        <v/>
      </c>
      <c r="N95" t="str">
        <v/>
      </c>
      <c r="P95" t="str">
        <v/>
      </c>
      <c r="Q95" t="str">
        <v/>
      </c>
    </row>
    <row r="96" spans="1:17" x14ac:dyDescent="0.2">
      <c r="A96" t="str">
        <v/>
      </c>
      <c r="B96" t="str">
        <v/>
      </c>
      <c r="D96" t="str">
        <v/>
      </c>
      <c r="E96" t="str">
        <v/>
      </c>
      <c r="G96" t="str">
        <v/>
      </c>
      <c r="H96" t="str">
        <v/>
      </c>
      <c r="J96" t="str">
        <v/>
      </c>
      <c r="K96" t="str">
        <v/>
      </c>
      <c r="M96" t="str">
        <v/>
      </c>
      <c r="N96" t="str">
        <v/>
      </c>
      <c r="P96" t="str">
        <v/>
      </c>
      <c r="Q96" t="str">
        <v/>
      </c>
    </row>
    <row r="97" spans="1:17" x14ac:dyDescent="0.2">
      <c r="A97" t="str">
        <v/>
      </c>
      <c r="B97" t="str">
        <v/>
      </c>
      <c r="D97" t="str">
        <v/>
      </c>
      <c r="E97" t="str">
        <v/>
      </c>
      <c r="G97" t="str">
        <v/>
      </c>
      <c r="H97" t="str">
        <v/>
      </c>
      <c r="J97" t="str">
        <v/>
      </c>
      <c r="K97" t="str">
        <v/>
      </c>
      <c r="M97" t="str">
        <v/>
      </c>
      <c r="N97" t="str">
        <v/>
      </c>
      <c r="P97" t="str">
        <v/>
      </c>
      <c r="Q97" t="str">
        <v/>
      </c>
    </row>
    <row r="98" spans="1:17" x14ac:dyDescent="0.2">
      <c r="A98" t="str">
        <v/>
      </c>
      <c r="B98" t="str">
        <v/>
      </c>
      <c r="D98" t="str">
        <v/>
      </c>
      <c r="E98" t="str">
        <v/>
      </c>
      <c r="G98" t="str">
        <v/>
      </c>
      <c r="H98" t="str">
        <v/>
      </c>
      <c r="J98" t="str">
        <v/>
      </c>
      <c r="K98" t="str">
        <v/>
      </c>
      <c r="M98" t="str">
        <v/>
      </c>
      <c r="N98" t="str">
        <v/>
      </c>
      <c r="P98" t="str">
        <v/>
      </c>
      <c r="Q98" t="str">
        <v/>
      </c>
    </row>
    <row r="99" spans="1:17" x14ac:dyDescent="0.2">
      <c r="A99" t="str">
        <v/>
      </c>
      <c r="B99" t="str">
        <v/>
      </c>
      <c r="D99" t="str">
        <v/>
      </c>
      <c r="E99" t="str">
        <v/>
      </c>
      <c r="G99" t="str">
        <v/>
      </c>
      <c r="H99" t="str">
        <v/>
      </c>
      <c r="J99" t="str">
        <v/>
      </c>
      <c r="K99" t="str">
        <v/>
      </c>
      <c r="M99" t="str">
        <v/>
      </c>
      <c r="N99" t="str">
        <v/>
      </c>
      <c r="P99" t="str">
        <v/>
      </c>
      <c r="Q99" t="str">
        <v/>
      </c>
    </row>
    <row r="100" spans="1:17" x14ac:dyDescent="0.2">
      <c r="A100" t="str">
        <v/>
      </c>
      <c r="B100" t="str">
        <v/>
      </c>
      <c r="D100" t="str">
        <v/>
      </c>
      <c r="E100" t="str">
        <v/>
      </c>
      <c r="G100" t="str">
        <v/>
      </c>
      <c r="H100" t="str">
        <v/>
      </c>
      <c r="J100" t="str">
        <v/>
      </c>
      <c r="K100" t="str">
        <v/>
      </c>
      <c r="M100" t="str">
        <v/>
      </c>
      <c r="N100" t="str">
        <v/>
      </c>
      <c r="P100" t="str">
        <v/>
      </c>
      <c r="Q100" t="str"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 enableFormatConditionsCalculation="0"/>
  <dimension ref="A1:F69"/>
  <sheetViews>
    <sheetView showGridLines="0" workbookViewId="0">
      <selection activeCell="B71" sqref="B71"/>
    </sheetView>
  </sheetViews>
  <sheetFormatPr baseColWidth="10" defaultColWidth="8.83203125" defaultRowHeight="15" x14ac:dyDescent="0.2"/>
  <cols>
    <col min="1" max="1" width="12" customWidth="1"/>
    <col min="2" max="2" width="56" bestFit="1" customWidth="1"/>
  </cols>
  <sheetData>
    <row r="1" spans="1:2" x14ac:dyDescent="0.2">
      <c r="A1" s="7" t="s">
        <v>219</v>
      </c>
      <c r="B1" s="8" t="s">
        <v>216</v>
      </c>
    </row>
    <row r="2" spans="1:2" x14ac:dyDescent="0.2">
      <c r="A2" s="7" t="s">
        <v>220</v>
      </c>
      <c r="B2" s="8" t="s">
        <v>221</v>
      </c>
    </row>
    <row r="3" spans="1:2" x14ac:dyDescent="0.2">
      <c r="A3" s="7" t="s">
        <v>222</v>
      </c>
      <c r="B3" s="8" t="s">
        <v>223</v>
      </c>
    </row>
    <row r="4" spans="1:2" x14ac:dyDescent="0.2">
      <c r="A4" s="7" t="s">
        <v>224</v>
      </c>
      <c r="B4" s="8" t="s">
        <v>225</v>
      </c>
    </row>
    <row r="5" spans="1:2" x14ac:dyDescent="0.2">
      <c r="A5" s="7" t="s">
        <v>226</v>
      </c>
      <c r="B5" s="8" t="s">
        <v>227</v>
      </c>
    </row>
    <row r="6" spans="1:2" x14ac:dyDescent="0.2">
      <c r="A6" s="7" t="s">
        <v>228</v>
      </c>
      <c r="B6" s="8" t="s">
        <v>229</v>
      </c>
    </row>
    <row r="7" spans="1:2" x14ac:dyDescent="0.2">
      <c r="A7" s="7" t="s">
        <v>230</v>
      </c>
      <c r="B7" s="8" t="s">
        <v>231</v>
      </c>
    </row>
    <row r="8" spans="1:2" x14ac:dyDescent="0.2">
      <c r="A8" s="7" t="s">
        <v>267</v>
      </c>
      <c r="B8" s="8" t="s">
        <v>268</v>
      </c>
    </row>
    <row r="9" spans="1:2" x14ac:dyDescent="0.2">
      <c r="A9" s="7" t="s">
        <v>232</v>
      </c>
      <c r="B9" s="8" t="s">
        <v>233</v>
      </c>
    </row>
    <row r="10" spans="1:2" x14ac:dyDescent="0.2">
      <c r="A10" s="7" t="s">
        <v>234</v>
      </c>
      <c r="B10" s="8" t="s">
        <v>235</v>
      </c>
    </row>
    <row r="11" spans="1:2" x14ac:dyDescent="0.2">
      <c r="A11" s="7" t="s">
        <v>236</v>
      </c>
      <c r="B11" s="8" t="s">
        <v>237</v>
      </c>
    </row>
    <row r="12" spans="1:2" x14ac:dyDescent="0.2">
      <c r="A12" s="7" t="s">
        <v>238</v>
      </c>
      <c r="B12" s="8" t="s">
        <v>239</v>
      </c>
    </row>
    <row r="13" spans="1:2" x14ac:dyDescent="0.2">
      <c r="A13" s="7" t="s">
        <v>240</v>
      </c>
      <c r="B13" s="8" t="s">
        <v>241</v>
      </c>
    </row>
    <row r="14" spans="1:2" x14ac:dyDescent="0.2">
      <c r="A14" s="7" t="s">
        <v>242</v>
      </c>
      <c r="B14" s="8" t="s">
        <v>243</v>
      </c>
    </row>
    <row r="15" spans="1:2" x14ac:dyDescent="0.2">
      <c r="A15" s="7" t="s">
        <v>244</v>
      </c>
      <c r="B15" s="8" t="s">
        <v>245</v>
      </c>
    </row>
    <row r="16" spans="1:2" x14ac:dyDescent="0.2">
      <c r="A16" s="7" t="s">
        <v>246</v>
      </c>
      <c r="B16" s="8" t="s">
        <v>247</v>
      </c>
    </row>
    <row r="17" spans="1:2" x14ac:dyDescent="0.2">
      <c r="A17" s="7" t="s">
        <v>246</v>
      </c>
      <c r="B17" s="8" t="s">
        <v>248</v>
      </c>
    </row>
    <row r="18" spans="1:2" x14ac:dyDescent="0.2">
      <c r="A18" s="7" t="s">
        <v>249</v>
      </c>
      <c r="B18" s="8" t="s">
        <v>250</v>
      </c>
    </row>
    <row r="19" spans="1:2" x14ac:dyDescent="0.2">
      <c r="A19" s="7" t="s">
        <v>251</v>
      </c>
      <c r="B19" s="8" t="s">
        <v>252</v>
      </c>
    </row>
    <row r="20" spans="1:2" x14ac:dyDescent="0.2">
      <c r="A20" s="7" t="s">
        <v>253</v>
      </c>
      <c r="B20" s="8" t="s">
        <v>254</v>
      </c>
    </row>
    <row r="21" spans="1:2" x14ac:dyDescent="0.2">
      <c r="A21" s="7" t="s">
        <v>255</v>
      </c>
      <c r="B21" s="8" t="s">
        <v>256</v>
      </c>
    </row>
    <row r="22" spans="1:2" x14ac:dyDescent="0.2">
      <c r="A22" s="7" t="s">
        <v>257</v>
      </c>
      <c r="B22" s="8" t="s">
        <v>258</v>
      </c>
    </row>
    <row r="23" spans="1:2" x14ac:dyDescent="0.2">
      <c r="A23" s="7" t="s">
        <v>259</v>
      </c>
      <c r="B23" s="8" t="s">
        <v>260</v>
      </c>
    </row>
    <row r="24" spans="1:2" x14ac:dyDescent="0.2">
      <c r="A24" s="7" t="s">
        <v>259</v>
      </c>
      <c r="B24" s="8" t="s">
        <v>261</v>
      </c>
    </row>
    <row r="25" spans="1:2" x14ac:dyDescent="0.2">
      <c r="A25" s="7" t="s">
        <v>262</v>
      </c>
      <c r="B25" s="8" t="s">
        <v>263</v>
      </c>
    </row>
    <row r="26" spans="1:2" x14ac:dyDescent="0.2">
      <c r="A26" s="7" t="s">
        <v>262</v>
      </c>
      <c r="B26" s="8" t="s">
        <v>264</v>
      </c>
    </row>
    <row r="27" spans="1:2" x14ac:dyDescent="0.2">
      <c r="A27" s="7" t="s">
        <v>262</v>
      </c>
      <c r="B27" s="8" t="s">
        <v>217</v>
      </c>
    </row>
    <row r="28" spans="1:2" x14ac:dyDescent="0.2">
      <c r="A28" s="7" t="s">
        <v>265</v>
      </c>
      <c r="B28" s="8" t="s">
        <v>266</v>
      </c>
    </row>
    <row r="29" spans="1:2" x14ac:dyDescent="0.2">
      <c r="A29" s="7" t="s">
        <v>269</v>
      </c>
      <c r="B29" s="8" t="s">
        <v>268</v>
      </c>
    </row>
    <row r="30" spans="1:2" x14ac:dyDescent="0.2">
      <c r="A30" s="7" t="s">
        <v>270</v>
      </c>
      <c r="B30" s="8" t="s">
        <v>271</v>
      </c>
    </row>
    <row r="31" spans="1:2" x14ac:dyDescent="0.2">
      <c r="A31" s="7" t="s">
        <v>272</v>
      </c>
      <c r="B31" s="8" t="s">
        <v>273</v>
      </c>
    </row>
    <row r="32" spans="1:2" x14ac:dyDescent="0.2">
      <c r="A32" s="7" t="s">
        <v>274</v>
      </c>
      <c r="B32" s="9" t="s">
        <v>275</v>
      </c>
    </row>
    <row r="33" spans="1:3" x14ac:dyDescent="0.2">
      <c r="A33" s="7" t="s">
        <v>163</v>
      </c>
      <c r="B33" s="9" t="s">
        <v>276</v>
      </c>
    </row>
    <row r="34" spans="1:3" x14ac:dyDescent="0.2">
      <c r="A34" s="7" t="s">
        <v>277</v>
      </c>
      <c r="B34" s="9" t="s">
        <v>278</v>
      </c>
      <c r="C34" s="6"/>
    </row>
    <row r="35" spans="1:3" x14ac:dyDescent="0.2">
      <c r="A35" s="7" t="s">
        <v>279</v>
      </c>
      <c r="B35" s="9" t="s">
        <v>280</v>
      </c>
      <c r="C35" s="6"/>
    </row>
    <row r="36" spans="1:3" x14ac:dyDescent="0.2">
      <c r="A36" s="7" t="s">
        <v>281</v>
      </c>
      <c r="B36" s="9" t="s">
        <v>282</v>
      </c>
      <c r="C36" s="6"/>
    </row>
    <row r="37" spans="1:3" x14ac:dyDescent="0.2">
      <c r="A37" s="7" t="s">
        <v>283</v>
      </c>
      <c r="B37" s="9" t="s">
        <v>284</v>
      </c>
      <c r="C37" s="6"/>
    </row>
    <row r="38" spans="1:3" x14ac:dyDescent="0.2">
      <c r="A38" s="7" t="s">
        <v>285</v>
      </c>
      <c r="B38" s="9" t="s">
        <v>286</v>
      </c>
      <c r="C38" s="6"/>
    </row>
    <row r="39" spans="1:3" x14ac:dyDescent="0.2">
      <c r="A39" s="7" t="s">
        <v>287</v>
      </c>
      <c r="B39" s="9" t="s">
        <v>288</v>
      </c>
      <c r="C39" s="6"/>
    </row>
    <row r="40" spans="1:3" x14ac:dyDescent="0.2">
      <c r="A40" s="7" t="s">
        <v>289</v>
      </c>
      <c r="B40" s="8" t="s">
        <v>290</v>
      </c>
    </row>
    <row r="41" spans="1:3" x14ac:dyDescent="0.2">
      <c r="A41" s="7" t="s">
        <v>291</v>
      </c>
      <c r="B41" s="8" t="s">
        <v>292</v>
      </c>
    </row>
    <row r="42" spans="1:3" x14ac:dyDescent="0.2">
      <c r="A42" s="7" t="s">
        <v>291</v>
      </c>
      <c r="B42" s="8" t="s">
        <v>293</v>
      </c>
    </row>
    <row r="43" spans="1:3" x14ac:dyDescent="0.2">
      <c r="A43" s="7" t="s">
        <v>291</v>
      </c>
      <c r="B43" s="8" t="s">
        <v>294</v>
      </c>
    </row>
    <row r="44" spans="1:3" x14ac:dyDescent="0.2">
      <c r="A44" s="7" t="s">
        <v>291</v>
      </c>
      <c r="B44" s="8" t="s">
        <v>295</v>
      </c>
    </row>
    <row r="45" spans="1:3" x14ac:dyDescent="0.2">
      <c r="A45" s="7" t="s">
        <v>296</v>
      </c>
      <c r="B45" s="8" t="s">
        <v>297</v>
      </c>
    </row>
    <row r="46" spans="1:3" x14ac:dyDescent="0.2">
      <c r="A46" s="7" t="s">
        <v>218</v>
      </c>
      <c r="B46" s="8" t="s">
        <v>298</v>
      </c>
    </row>
    <row r="47" spans="1:3" x14ac:dyDescent="0.2">
      <c r="A47" s="7" t="s">
        <v>299</v>
      </c>
      <c r="B47" s="8" t="s">
        <v>300</v>
      </c>
    </row>
    <row r="48" spans="1:3" x14ac:dyDescent="0.2">
      <c r="A48" s="7" t="s">
        <v>301</v>
      </c>
      <c r="B48" s="8" t="s">
        <v>302</v>
      </c>
    </row>
    <row r="49" spans="1:2" x14ac:dyDescent="0.2">
      <c r="A49" s="7" t="s">
        <v>303</v>
      </c>
      <c r="B49" s="8" t="s">
        <v>304</v>
      </c>
    </row>
    <row r="50" spans="1:2" x14ac:dyDescent="0.2">
      <c r="A50" s="7" t="s">
        <v>305</v>
      </c>
      <c r="B50" s="8" t="s">
        <v>306</v>
      </c>
    </row>
    <row r="51" spans="1:2" x14ac:dyDescent="0.2">
      <c r="A51" s="7" t="s">
        <v>307</v>
      </c>
      <c r="B51" s="8" t="s">
        <v>308</v>
      </c>
    </row>
    <row r="52" spans="1:2" x14ac:dyDescent="0.2">
      <c r="A52" s="7" t="s">
        <v>309</v>
      </c>
      <c r="B52" s="8" t="s">
        <v>310</v>
      </c>
    </row>
    <row r="53" spans="1:2" x14ac:dyDescent="0.2">
      <c r="A53" s="7" t="s">
        <v>311</v>
      </c>
      <c r="B53" s="8" t="s">
        <v>312</v>
      </c>
    </row>
    <row r="54" spans="1:2" x14ac:dyDescent="0.2">
      <c r="A54" s="7" t="s">
        <v>313</v>
      </c>
      <c r="B54" s="8" t="s">
        <v>314</v>
      </c>
    </row>
    <row r="55" spans="1:2" x14ac:dyDescent="0.2">
      <c r="A55" s="7" t="s">
        <v>315</v>
      </c>
      <c r="B55" s="8" t="s">
        <v>316</v>
      </c>
    </row>
    <row r="56" spans="1:2" x14ac:dyDescent="0.2">
      <c r="A56" s="7" t="s">
        <v>315</v>
      </c>
      <c r="B56" s="8" t="s">
        <v>317</v>
      </c>
    </row>
    <row r="57" spans="1:2" x14ac:dyDescent="0.2">
      <c r="A57" s="7" t="s">
        <v>318</v>
      </c>
      <c r="B57" s="8" t="s">
        <v>319</v>
      </c>
    </row>
    <row r="58" spans="1:2" x14ac:dyDescent="0.2">
      <c r="A58" s="10" t="s">
        <v>320</v>
      </c>
      <c r="B58" s="8" t="s">
        <v>321</v>
      </c>
    </row>
    <row r="59" spans="1:2" x14ac:dyDescent="0.2">
      <c r="A59" s="149" t="s">
        <v>7</v>
      </c>
      <c r="B59" s="150"/>
    </row>
    <row r="60" spans="1:2" x14ac:dyDescent="0.2">
      <c r="A60" s="151" t="s">
        <v>8</v>
      </c>
      <c r="B60" s="152"/>
    </row>
    <row r="61" spans="1:2" x14ac:dyDescent="0.2">
      <c r="A61" s="153" t="s">
        <v>9</v>
      </c>
      <c r="B61" s="154"/>
    </row>
    <row r="62" spans="1:2" x14ac:dyDescent="0.2">
      <c r="A62" s="4"/>
    </row>
    <row r="63" spans="1:2" x14ac:dyDescent="0.2">
      <c r="A63" s="157" t="s">
        <v>10</v>
      </c>
      <c r="B63" s="158"/>
    </row>
    <row r="64" spans="1:2" x14ac:dyDescent="0.2">
      <c r="A64" s="155" t="s">
        <v>11</v>
      </c>
      <c r="B64" s="156"/>
    </row>
    <row r="65" spans="1:6" x14ac:dyDescent="0.2">
      <c r="A65" s="153" t="s">
        <v>12</v>
      </c>
      <c r="B65" s="154"/>
    </row>
    <row r="66" spans="1:6" x14ac:dyDescent="0.2">
      <c r="A66" s="4"/>
    </row>
    <row r="67" spans="1:6" x14ac:dyDescent="0.2">
      <c r="A67" s="146" t="s">
        <v>13</v>
      </c>
      <c r="B67" s="147"/>
      <c r="C67" s="147"/>
      <c r="D67" s="147"/>
      <c r="E67" s="147"/>
      <c r="F67" s="148"/>
    </row>
    <row r="68" spans="1:6" x14ac:dyDescent="0.2">
      <c r="A68" s="5"/>
    </row>
    <row r="69" spans="1:6" x14ac:dyDescent="0.2">
      <c r="A69" s="5"/>
    </row>
  </sheetData>
  <sheetProtection algorithmName="SHA-512" hashValue="HYx5KkgQzx1UlU4UUUWeQgoyrhI04qpCf3g79Y6kBEQWzhS42wziRzv8QjRRn5CZGv/KQaWXiboVsgfs03VQcg==" saltValue="ll9YbIXxBX0EaFEfS2/rDw==" spinCount="100000" sheet="1" objects="1" scenarios="1" selectLockedCells="1"/>
  <mergeCells count="7">
    <mergeCell ref="A67:F67"/>
    <mergeCell ref="A59:B59"/>
    <mergeCell ref="A60:B60"/>
    <mergeCell ref="A61:B61"/>
    <mergeCell ref="A65:B65"/>
    <mergeCell ref="A64:B64"/>
    <mergeCell ref="A63:B6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/>
  <dimension ref="A1:B112"/>
  <sheetViews>
    <sheetView showGridLines="0" workbookViewId="0">
      <selection activeCell="B23" sqref="B23"/>
    </sheetView>
  </sheetViews>
  <sheetFormatPr baseColWidth="10" defaultColWidth="8.83203125" defaultRowHeight="15" x14ac:dyDescent="0.2"/>
  <cols>
    <col min="1" max="1" width="12.83203125" customWidth="1"/>
    <col min="2" max="2" width="96.1640625" bestFit="1" customWidth="1"/>
  </cols>
  <sheetData>
    <row r="1" spans="1:2" x14ac:dyDescent="0.2">
      <c r="A1" s="8" t="s">
        <v>508</v>
      </c>
      <c r="B1" s="8" t="s">
        <v>639</v>
      </c>
    </row>
    <row r="2" spans="1:2" x14ac:dyDescent="0.2">
      <c r="A2" s="8" t="s">
        <v>428</v>
      </c>
      <c r="B2" s="8" t="s">
        <v>510</v>
      </c>
    </row>
    <row r="3" spans="1:2" x14ac:dyDescent="0.2">
      <c r="A3" s="8" t="s">
        <v>507</v>
      </c>
      <c r="B3" s="8" t="s">
        <v>1255</v>
      </c>
    </row>
    <row r="4" spans="1:2" x14ac:dyDescent="0.2">
      <c r="A4" s="8" t="s">
        <v>506</v>
      </c>
      <c r="B4" s="8" t="s">
        <v>642</v>
      </c>
    </row>
    <row r="5" spans="1:2" x14ac:dyDescent="0.2">
      <c r="A5" s="8" t="s">
        <v>429</v>
      </c>
      <c r="B5" s="8" t="s">
        <v>641</v>
      </c>
    </row>
    <row r="6" spans="1:2" x14ac:dyDescent="0.2">
      <c r="A6" s="8" t="s">
        <v>505</v>
      </c>
      <c r="B6" s="8" t="s">
        <v>643</v>
      </c>
    </row>
    <row r="7" spans="1:2" x14ac:dyDescent="0.2">
      <c r="A7" s="8" t="s">
        <v>504</v>
      </c>
      <c r="B7" s="8" t="s">
        <v>644</v>
      </c>
    </row>
    <row r="8" spans="1:2" x14ac:dyDescent="0.2">
      <c r="A8" s="8" t="s">
        <v>503</v>
      </c>
      <c r="B8" s="8" t="s">
        <v>645</v>
      </c>
    </row>
    <row r="9" spans="1:2" x14ac:dyDescent="0.2">
      <c r="A9" s="8" t="s">
        <v>503</v>
      </c>
      <c r="B9" s="8" t="s">
        <v>646</v>
      </c>
    </row>
    <row r="10" spans="1:2" x14ac:dyDescent="0.2">
      <c r="A10" s="8" t="s">
        <v>503</v>
      </c>
      <c r="B10" s="8" t="s">
        <v>632</v>
      </c>
    </row>
    <row r="11" spans="1:2" x14ac:dyDescent="0.2">
      <c r="A11" s="8" t="s">
        <v>640</v>
      </c>
      <c r="B11" s="8" t="s">
        <v>641</v>
      </c>
    </row>
    <row r="12" spans="1:2" x14ac:dyDescent="0.2">
      <c r="A12" s="8" t="s">
        <v>511</v>
      </c>
      <c r="B12" s="8" t="s">
        <v>632</v>
      </c>
    </row>
    <row r="13" spans="1:2" x14ac:dyDescent="0.2">
      <c r="A13" s="8" t="s">
        <v>502</v>
      </c>
      <c r="B13" s="8" t="s">
        <v>647</v>
      </c>
    </row>
    <row r="14" spans="1:2" x14ac:dyDescent="0.2">
      <c r="A14" s="8" t="s">
        <v>518</v>
      </c>
      <c r="B14" s="8" t="s">
        <v>638</v>
      </c>
    </row>
    <row r="15" spans="1:2" x14ac:dyDescent="0.2">
      <c r="A15" s="8" t="s">
        <v>516</v>
      </c>
      <c r="B15" s="8" t="s">
        <v>648</v>
      </c>
    </row>
    <row r="16" spans="1:2" x14ac:dyDescent="0.2">
      <c r="A16" s="8" t="s">
        <v>516</v>
      </c>
      <c r="B16" s="8" t="s">
        <v>649</v>
      </c>
    </row>
    <row r="17" spans="1:2" x14ac:dyDescent="0.2">
      <c r="A17" s="8" t="s">
        <v>516</v>
      </c>
      <c r="B17" s="8" t="s">
        <v>718</v>
      </c>
    </row>
    <row r="18" spans="1:2" x14ac:dyDescent="0.2">
      <c r="A18" s="8" t="s">
        <v>430</v>
      </c>
      <c r="B18" s="8" t="s">
        <v>633</v>
      </c>
    </row>
    <row r="19" spans="1:2" x14ac:dyDescent="0.2">
      <c r="A19" s="8" t="s">
        <v>501</v>
      </c>
      <c r="B19" s="8" t="s">
        <v>650</v>
      </c>
    </row>
    <row r="20" spans="1:2" x14ac:dyDescent="0.2">
      <c r="A20" s="8" t="s">
        <v>517</v>
      </c>
      <c r="B20" s="8" t="s">
        <v>637</v>
      </c>
    </row>
    <row r="21" spans="1:2" x14ac:dyDescent="0.2">
      <c r="A21" s="8" t="s">
        <v>509</v>
      </c>
      <c r="B21" s="8" t="s">
        <v>631</v>
      </c>
    </row>
    <row r="22" spans="1:2" x14ac:dyDescent="0.2">
      <c r="A22" s="8" t="s">
        <v>514</v>
      </c>
      <c r="B22" s="8" t="s">
        <v>636</v>
      </c>
    </row>
    <row r="23" spans="1:2" x14ac:dyDescent="0.2">
      <c r="A23" s="8" t="s">
        <v>500</v>
      </c>
      <c r="B23" s="8" t="s">
        <v>651</v>
      </c>
    </row>
    <row r="24" spans="1:2" x14ac:dyDescent="0.2">
      <c r="A24" s="8" t="s">
        <v>499</v>
      </c>
      <c r="B24" s="8" t="s">
        <v>652</v>
      </c>
    </row>
    <row r="25" spans="1:2" x14ac:dyDescent="0.2">
      <c r="A25" s="8" t="s">
        <v>498</v>
      </c>
      <c r="B25" s="8" t="s">
        <v>653</v>
      </c>
    </row>
    <row r="26" spans="1:2" x14ac:dyDescent="0.2">
      <c r="A26" s="8" t="s">
        <v>515</v>
      </c>
      <c r="B26" s="8" t="s">
        <v>636</v>
      </c>
    </row>
    <row r="27" spans="1:2" x14ac:dyDescent="0.2">
      <c r="A27" s="8" t="s">
        <v>431</v>
      </c>
      <c r="B27" s="8" t="s">
        <v>634</v>
      </c>
    </row>
    <row r="28" spans="1:2" x14ac:dyDescent="0.2">
      <c r="A28" s="8" t="s">
        <v>497</v>
      </c>
      <c r="B28" s="8" t="s">
        <v>654</v>
      </c>
    </row>
    <row r="29" spans="1:2" x14ac:dyDescent="0.2">
      <c r="A29" s="8" t="s">
        <v>432</v>
      </c>
      <c r="B29" s="8" t="s">
        <v>655</v>
      </c>
    </row>
    <row r="30" spans="1:2" x14ac:dyDescent="0.2">
      <c r="A30" s="8" t="s">
        <v>432</v>
      </c>
      <c r="B30" s="8" t="s">
        <v>656</v>
      </c>
    </row>
    <row r="31" spans="1:2" x14ac:dyDescent="0.2">
      <c r="A31" s="8" t="s">
        <v>496</v>
      </c>
      <c r="B31" s="8" t="s">
        <v>657</v>
      </c>
    </row>
    <row r="32" spans="1:2" x14ac:dyDescent="0.2">
      <c r="A32" s="8" t="s">
        <v>495</v>
      </c>
      <c r="B32" s="8" t="s">
        <v>658</v>
      </c>
    </row>
    <row r="33" spans="1:2" x14ac:dyDescent="0.2">
      <c r="A33" s="8" t="s">
        <v>494</v>
      </c>
      <c r="B33" s="8" t="s">
        <v>659</v>
      </c>
    </row>
    <row r="34" spans="1:2" x14ac:dyDescent="0.2">
      <c r="A34" s="8" t="s">
        <v>493</v>
      </c>
      <c r="B34" s="8" t="s">
        <v>660</v>
      </c>
    </row>
    <row r="35" spans="1:2" x14ac:dyDescent="0.2">
      <c r="A35" s="8" t="s">
        <v>492</v>
      </c>
      <c r="B35" s="8" t="s">
        <v>661</v>
      </c>
    </row>
    <row r="36" spans="1:2" x14ac:dyDescent="0.2">
      <c r="A36" s="8" t="s">
        <v>491</v>
      </c>
      <c r="B36" s="8" t="s">
        <v>662</v>
      </c>
    </row>
    <row r="37" spans="1:2" x14ac:dyDescent="0.2">
      <c r="A37" s="8" t="s">
        <v>490</v>
      </c>
      <c r="B37" s="8" t="s">
        <v>663</v>
      </c>
    </row>
    <row r="38" spans="1:2" x14ac:dyDescent="0.2">
      <c r="A38" s="8" t="s">
        <v>433</v>
      </c>
      <c r="B38" s="8" t="s">
        <v>664</v>
      </c>
    </row>
    <row r="39" spans="1:2" x14ac:dyDescent="0.2">
      <c r="A39" s="8" t="s">
        <v>433</v>
      </c>
      <c r="B39" s="8" t="s">
        <v>665</v>
      </c>
    </row>
    <row r="40" spans="1:2" x14ac:dyDescent="0.2">
      <c r="A40" s="8" t="s">
        <v>433</v>
      </c>
      <c r="B40" s="8" t="s">
        <v>666</v>
      </c>
    </row>
    <row r="41" spans="1:2" x14ac:dyDescent="0.2">
      <c r="A41" s="8" t="s">
        <v>433</v>
      </c>
      <c r="B41" s="8" t="s">
        <v>635</v>
      </c>
    </row>
    <row r="42" spans="1:2" x14ac:dyDescent="0.2">
      <c r="A42" s="8" t="s">
        <v>667</v>
      </c>
      <c r="B42" s="8" t="s">
        <v>668</v>
      </c>
    </row>
    <row r="43" spans="1:2" x14ac:dyDescent="0.2">
      <c r="A43" s="8" t="s">
        <v>289</v>
      </c>
      <c r="B43" s="8" t="s">
        <v>290</v>
      </c>
    </row>
    <row r="44" spans="1:2" x14ac:dyDescent="0.2">
      <c r="A44" s="8" t="s">
        <v>489</v>
      </c>
      <c r="B44" s="8" t="s">
        <v>586</v>
      </c>
    </row>
    <row r="45" spans="1:2" x14ac:dyDescent="0.2">
      <c r="A45" s="8" t="s">
        <v>488</v>
      </c>
      <c r="B45" s="8" t="s">
        <v>669</v>
      </c>
    </row>
    <row r="46" spans="1:2" x14ac:dyDescent="0.2">
      <c r="A46" s="8" t="s">
        <v>512</v>
      </c>
      <c r="B46" s="8" t="s">
        <v>633</v>
      </c>
    </row>
    <row r="47" spans="1:2" x14ac:dyDescent="0.2">
      <c r="A47" s="8" t="s">
        <v>487</v>
      </c>
      <c r="B47" s="8" t="s">
        <v>670</v>
      </c>
    </row>
    <row r="48" spans="1:2" x14ac:dyDescent="0.2">
      <c r="A48" s="8" t="s">
        <v>486</v>
      </c>
      <c r="B48" s="8" t="s">
        <v>671</v>
      </c>
    </row>
    <row r="49" spans="1:2" x14ac:dyDescent="0.2">
      <c r="A49" s="8" t="s">
        <v>486</v>
      </c>
      <c r="B49" s="8" t="s">
        <v>672</v>
      </c>
    </row>
    <row r="50" spans="1:2" x14ac:dyDescent="0.2">
      <c r="A50" s="8" t="s">
        <v>486</v>
      </c>
      <c r="B50" s="8" t="s">
        <v>673</v>
      </c>
    </row>
    <row r="51" spans="1:2" x14ac:dyDescent="0.2">
      <c r="A51" s="8" t="s">
        <v>485</v>
      </c>
      <c r="B51" s="8" t="s">
        <v>674</v>
      </c>
    </row>
    <row r="52" spans="1:2" x14ac:dyDescent="0.2">
      <c r="A52" s="8" t="s">
        <v>406</v>
      </c>
      <c r="B52" s="8" t="s">
        <v>675</v>
      </c>
    </row>
    <row r="53" spans="1:2" x14ac:dyDescent="0.2">
      <c r="A53" s="8" t="s">
        <v>412</v>
      </c>
      <c r="B53" s="8" t="s">
        <v>422</v>
      </c>
    </row>
    <row r="54" spans="1:2" x14ac:dyDescent="0.2">
      <c r="A54" s="8" t="s">
        <v>484</v>
      </c>
      <c r="B54" s="8" t="s">
        <v>676</v>
      </c>
    </row>
    <row r="55" spans="1:2" x14ac:dyDescent="0.2">
      <c r="A55" s="8" t="s">
        <v>407</v>
      </c>
      <c r="B55" s="8" t="s">
        <v>677</v>
      </c>
    </row>
    <row r="56" spans="1:2" x14ac:dyDescent="0.2">
      <c r="A56" s="8" t="s">
        <v>434</v>
      </c>
      <c r="B56" s="8" t="s">
        <v>678</v>
      </c>
    </row>
    <row r="57" spans="1:2" x14ac:dyDescent="0.2">
      <c r="A57" s="8" t="s">
        <v>434</v>
      </c>
      <c r="B57" s="8" t="s">
        <v>679</v>
      </c>
    </row>
    <row r="58" spans="1:2" x14ac:dyDescent="0.2">
      <c r="A58" s="8" t="s">
        <v>483</v>
      </c>
      <c r="B58" s="8" t="s">
        <v>680</v>
      </c>
    </row>
    <row r="59" spans="1:2" x14ac:dyDescent="0.2">
      <c r="A59" s="8" t="s">
        <v>482</v>
      </c>
      <c r="B59" s="8" t="s">
        <v>681</v>
      </c>
    </row>
    <row r="60" spans="1:2" x14ac:dyDescent="0.2">
      <c r="A60" s="8" t="s">
        <v>481</v>
      </c>
      <c r="B60" s="8" t="s">
        <v>682</v>
      </c>
    </row>
    <row r="61" spans="1:2" x14ac:dyDescent="0.2">
      <c r="A61" s="8" t="s">
        <v>480</v>
      </c>
      <c r="B61" s="8" t="s">
        <v>683</v>
      </c>
    </row>
    <row r="62" spans="1:2" x14ac:dyDescent="0.2">
      <c r="A62" s="8" t="s">
        <v>479</v>
      </c>
      <c r="B62" s="8" t="s">
        <v>684</v>
      </c>
    </row>
    <row r="63" spans="1:2" x14ac:dyDescent="0.2">
      <c r="A63" s="8" t="s">
        <v>478</v>
      </c>
      <c r="B63" s="8" t="s">
        <v>685</v>
      </c>
    </row>
    <row r="64" spans="1:2" x14ac:dyDescent="0.2">
      <c r="A64" s="8" t="s">
        <v>435</v>
      </c>
      <c r="B64" s="8" t="s">
        <v>686</v>
      </c>
    </row>
    <row r="65" spans="1:2" x14ac:dyDescent="0.2">
      <c r="A65" s="8" t="s">
        <v>477</v>
      </c>
      <c r="B65" s="8" t="s">
        <v>687</v>
      </c>
    </row>
    <row r="66" spans="1:2" x14ac:dyDescent="0.2">
      <c r="A66" s="8" t="s">
        <v>476</v>
      </c>
      <c r="B66" s="8" t="s">
        <v>688</v>
      </c>
    </row>
    <row r="67" spans="1:2" x14ac:dyDescent="0.2">
      <c r="A67" s="8" t="s">
        <v>436</v>
      </c>
      <c r="B67" s="8" t="s">
        <v>636</v>
      </c>
    </row>
    <row r="68" spans="1:2" x14ac:dyDescent="0.2">
      <c r="A68" s="8" t="s">
        <v>475</v>
      </c>
      <c r="B68" s="8" t="s">
        <v>689</v>
      </c>
    </row>
    <row r="69" spans="1:2" x14ac:dyDescent="0.2">
      <c r="A69" s="8" t="s">
        <v>474</v>
      </c>
      <c r="B69" s="8" t="s">
        <v>690</v>
      </c>
    </row>
    <row r="70" spans="1:2" x14ac:dyDescent="0.2">
      <c r="A70" s="8" t="s">
        <v>473</v>
      </c>
      <c r="B70" s="8" t="s">
        <v>691</v>
      </c>
    </row>
    <row r="71" spans="1:2" x14ac:dyDescent="0.2">
      <c r="A71" s="8" t="s">
        <v>472</v>
      </c>
      <c r="B71" s="8" t="s">
        <v>692</v>
      </c>
    </row>
    <row r="72" spans="1:2" x14ac:dyDescent="0.2">
      <c r="A72" s="8" t="s">
        <v>471</v>
      </c>
      <c r="B72" s="8" t="s">
        <v>693</v>
      </c>
    </row>
    <row r="73" spans="1:2" x14ac:dyDescent="0.2">
      <c r="A73" s="8" t="s">
        <v>470</v>
      </c>
      <c r="B73" s="8" t="s">
        <v>694</v>
      </c>
    </row>
    <row r="74" spans="1:2" x14ac:dyDescent="0.2">
      <c r="A74" s="8" t="s">
        <v>469</v>
      </c>
      <c r="B74" s="8" t="s">
        <v>695</v>
      </c>
    </row>
    <row r="75" spans="1:2" x14ac:dyDescent="0.2">
      <c r="A75" s="8" t="s">
        <v>468</v>
      </c>
      <c r="B75" s="8" t="s">
        <v>696</v>
      </c>
    </row>
    <row r="76" spans="1:2" x14ac:dyDescent="0.2">
      <c r="A76" s="8" t="s">
        <v>467</v>
      </c>
      <c r="B76" s="8" t="s">
        <v>697</v>
      </c>
    </row>
    <row r="77" spans="1:2" x14ac:dyDescent="0.2">
      <c r="A77" s="8" t="s">
        <v>466</v>
      </c>
      <c r="B77" s="8" t="s">
        <v>698</v>
      </c>
    </row>
    <row r="78" spans="1:2" x14ac:dyDescent="0.2">
      <c r="A78" s="8" t="s">
        <v>465</v>
      </c>
      <c r="B78" s="8" t="s">
        <v>699</v>
      </c>
    </row>
    <row r="79" spans="1:2" x14ac:dyDescent="0.2">
      <c r="A79" s="8" t="s">
        <v>413</v>
      </c>
      <c r="B79" s="8" t="s">
        <v>700</v>
      </c>
    </row>
    <row r="80" spans="1:2" x14ac:dyDescent="0.2">
      <c r="A80" s="8" t="s">
        <v>464</v>
      </c>
      <c r="B80" s="8" t="s">
        <v>701</v>
      </c>
    </row>
    <row r="81" spans="1:2" x14ac:dyDescent="0.2">
      <c r="A81" s="8" t="s">
        <v>463</v>
      </c>
      <c r="B81" s="8" t="s">
        <v>702</v>
      </c>
    </row>
    <row r="82" spans="1:2" x14ac:dyDescent="0.2">
      <c r="A82" s="8" t="s">
        <v>462</v>
      </c>
      <c r="B82" s="8" t="s">
        <v>703</v>
      </c>
    </row>
    <row r="83" spans="1:2" x14ac:dyDescent="0.2">
      <c r="A83" s="8" t="s">
        <v>461</v>
      </c>
      <c r="B83" s="8" t="s">
        <v>704</v>
      </c>
    </row>
    <row r="84" spans="1:2" x14ac:dyDescent="0.2">
      <c r="A84" s="8" t="s">
        <v>460</v>
      </c>
      <c r="B84" s="8" t="s">
        <v>705</v>
      </c>
    </row>
    <row r="85" spans="1:2" x14ac:dyDescent="0.2">
      <c r="A85" s="8" t="s">
        <v>437</v>
      </c>
      <c r="B85" s="8" t="s">
        <v>706</v>
      </c>
    </row>
    <row r="86" spans="1:2" x14ac:dyDescent="0.2">
      <c r="A86" s="8" t="s">
        <v>459</v>
      </c>
      <c r="B86" s="8" t="s">
        <v>707</v>
      </c>
    </row>
    <row r="87" spans="1:2" x14ac:dyDescent="0.2">
      <c r="A87" s="8" t="s">
        <v>458</v>
      </c>
      <c r="B87" s="8" t="s">
        <v>708</v>
      </c>
    </row>
    <row r="88" spans="1:2" x14ac:dyDescent="0.2">
      <c r="A88" s="8" t="s">
        <v>457</v>
      </c>
      <c r="B88" s="8" t="s">
        <v>709</v>
      </c>
    </row>
    <row r="89" spans="1:2" x14ac:dyDescent="0.2">
      <c r="A89" s="8" t="s">
        <v>456</v>
      </c>
      <c r="B89" s="8" t="s">
        <v>710</v>
      </c>
    </row>
    <row r="90" spans="1:2" x14ac:dyDescent="0.2">
      <c r="A90" s="8" t="s">
        <v>455</v>
      </c>
      <c r="B90" s="8" t="s">
        <v>711</v>
      </c>
    </row>
    <row r="91" spans="1:2" x14ac:dyDescent="0.2">
      <c r="A91" s="8" t="s">
        <v>454</v>
      </c>
      <c r="B91" s="8" t="s">
        <v>712</v>
      </c>
    </row>
    <row r="92" spans="1:2" x14ac:dyDescent="0.2">
      <c r="A92" s="8" t="s">
        <v>453</v>
      </c>
      <c r="B92" s="8" t="s">
        <v>713</v>
      </c>
    </row>
    <row r="93" spans="1:2" x14ac:dyDescent="0.2">
      <c r="A93" s="8" t="s">
        <v>452</v>
      </c>
      <c r="B93" s="8" t="s">
        <v>714</v>
      </c>
    </row>
    <row r="94" spans="1:2" x14ac:dyDescent="0.2">
      <c r="A94" s="8" t="s">
        <v>451</v>
      </c>
      <c r="B94" s="8" t="s">
        <v>715</v>
      </c>
    </row>
    <row r="95" spans="1:2" x14ac:dyDescent="0.2">
      <c r="A95" s="8" t="s">
        <v>513</v>
      </c>
      <c r="B95" s="8" t="s">
        <v>634</v>
      </c>
    </row>
    <row r="96" spans="1:2" x14ac:dyDescent="0.2">
      <c r="A96" s="8" t="s">
        <v>438</v>
      </c>
      <c r="B96" s="8" t="s">
        <v>718</v>
      </c>
    </row>
    <row r="97" spans="1:2" x14ac:dyDescent="0.2">
      <c r="A97" s="8" t="s">
        <v>439</v>
      </c>
      <c r="B97" s="8" t="s">
        <v>719</v>
      </c>
    </row>
    <row r="98" spans="1:2" x14ac:dyDescent="0.2">
      <c r="A98" s="8" t="s">
        <v>405</v>
      </c>
      <c r="B98" s="8" t="s">
        <v>613</v>
      </c>
    </row>
    <row r="99" spans="1:2" x14ac:dyDescent="0.2">
      <c r="A99" s="8" t="s">
        <v>450</v>
      </c>
      <c r="B99" s="8" t="s">
        <v>716</v>
      </c>
    </row>
    <row r="100" spans="1:2" x14ac:dyDescent="0.2">
      <c r="A100" s="8" t="s">
        <v>440</v>
      </c>
      <c r="B100" s="8" t="s">
        <v>637</v>
      </c>
    </row>
    <row r="101" spans="1:2" x14ac:dyDescent="0.2">
      <c r="A101" s="8" t="s">
        <v>449</v>
      </c>
      <c r="B101" s="8" t="s">
        <v>717</v>
      </c>
    </row>
    <row r="102" spans="1:2" x14ac:dyDescent="0.2">
      <c r="A102" s="8" t="s">
        <v>519</v>
      </c>
      <c r="B102" s="8" t="s">
        <v>638</v>
      </c>
    </row>
    <row r="103" spans="1:2" x14ac:dyDescent="0.2">
      <c r="A103" s="8" t="s">
        <v>448</v>
      </c>
      <c r="B103" s="8" t="s">
        <v>720</v>
      </c>
    </row>
    <row r="104" spans="1:2" x14ac:dyDescent="0.2">
      <c r="A104" s="8" t="s">
        <v>447</v>
      </c>
      <c r="B104" s="8" t="s">
        <v>721</v>
      </c>
    </row>
    <row r="105" spans="1:2" x14ac:dyDescent="0.2">
      <c r="A105" s="8" t="s">
        <v>446</v>
      </c>
      <c r="B105" s="8" t="s">
        <v>722</v>
      </c>
    </row>
    <row r="106" spans="1:2" x14ac:dyDescent="0.2">
      <c r="A106" s="8" t="s">
        <v>445</v>
      </c>
      <c r="B106" s="8" t="s">
        <v>723</v>
      </c>
    </row>
    <row r="107" spans="1:2" x14ac:dyDescent="0.2">
      <c r="A107" s="8" t="s">
        <v>444</v>
      </c>
      <c r="B107" s="8" t="s">
        <v>727</v>
      </c>
    </row>
    <row r="108" spans="1:2" x14ac:dyDescent="0.2">
      <c r="A108" s="8" t="s">
        <v>443</v>
      </c>
      <c r="B108" s="8" t="s">
        <v>724</v>
      </c>
    </row>
    <row r="109" spans="1:2" x14ac:dyDescent="0.2">
      <c r="A109" s="8" t="s">
        <v>427</v>
      </c>
      <c r="B109" s="8" t="s">
        <v>725</v>
      </c>
    </row>
    <row r="110" spans="1:2" x14ac:dyDescent="0.2">
      <c r="A110" s="8" t="s">
        <v>442</v>
      </c>
      <c r="B110" s="8" t="s">
        <v>726</v>
      </c>
    </row>
    <row r="111" spans="1:2" x14ac:dyDescent="0.2">
      <c r="A111" s="8" t="s">
        <v>441</v>
      </c>
      <c r="B111" s="8" t="s">
        <v>728</v>
      </c>
    </row>
    <row r="112" spans="1:2" x14ac:dyDescent="0.2">
      <c r="A112" s="8" t="s">
        <v>520</v>
      </c>
      <c r="B112" s="8" t="s">
        <v>638</v>
      </c>
    </row>
  </sheetData>
  <sheetProtection algorithmName="SHA-512" hashValue="naIrRVdhuzqR1DHOlg9mtKttmeLSSS8PhE5Z/sUylLzhOfaSc1m7mydN9T+j2KtYUcIRa1aP0tXud/Jnuq9bqg==" saltValue="b4OvZXPPfmbog6KkjNp/RQ==" spinCount="100000" sheet="1" objects="1" scenarios="1" selectLockedCells="1"/>
  <dataConsolidate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enableFormatConditionsCalculation="0"/>
  <dimension ref="A1:B67"/>
  <sheetViews>
    <sheetView showGridLines="0" workbookViewId="0">
      <selection activeCell="G23" sqref="G23"/>
    </sheetView>
  </sheetViews>
  <sheetFormatPr baseColWidth="10" defaultColWidth="8.83203125" defaultRowHeight="15" x14ac:dyDescent="0.2"/>
  <cols>
    <col min="2" max="2" width="89.83203125" bestFit="1" customWidth="1"/>
  </cols>
  <sheetData>
    <row r="1" spans="1:2" x14ac:dyDescent="0.2">
      <c r="A1" s="8" t="s">
        <v>521</v>
      </c>
      <c r="B1" s="8" t="s">
        <v>522</v>
      </c>
    </row>
    <row r="2" spans="1:2" x14ac:dyDescent="0.2">
      <c r="A2" s="8" t="s">
        <v>228</v>
      </c>
      <c r="B2" s="8" t="s">
        <v>229</v>
      </c>
    </row>
    <row r="3" spans="1:2" x14ac:dyDescent="0.2">
      <c r="A3" s="8" t="s">
        <v>251</v>
      </c>
      <c r="B3" s="8" t="s">
        <v>523</v>
      </c>
    </row>
    <row r="4" spans="1:2" x14ac:dyDescent="0.2">
      <c r="A4" s="8" t="s">
        <v>253</v>
      </c>
      <c r="B4" s="8" t="s">
        <v>524</v>
      </c>
    </row>
    <row r="5" spans="1:2" x14ac:dyDescent="0.2">
      <c r="A5" s="8" t="s">
        <v>262</v>
      </c>
      <c r="B5" s="8" t="s">
        <v>217</v>
      </c>
    </row>
    <row r="6" spans="1:2" x14ac:dyDescent="0.2">
      <c r="A6" s="8" t="s">
        <v>608</v>
      </c>
      <c r="B6" s="8" t="s">
        <v>609</v>
      </c>
    </row>
    <row r="7" spans="1:2" x14ac:dyDescent="0.2">
      <c r="A7" s="8" t="s">
        <v>525</v>
      </c>
      <c r="B7" s="8" t="s">
        <v>526</v>
      </c>
    </row>
    <row r="8" spans="1:2" x14ac:dyDescent="0.2">
      <c r="A8" s="8" t="s">
        <v>527</v>
      </c>
      <c r="B8" s="8" t="s">
        <v>24</v>
      </c>
    </row>
    <row r="9" spans="1:2" x14ac:dyDescent="0.2">
      <c r="A9" s="8" t="s">
        <v>528</v>
      </c>
      <c r="B9" s="8" t="s">
        <v>529</v>
      </c>
    </row>
    <row r="10" spans="1:2" x14ac:dyDescent="0.2">
      <c r="A10" s="8" t="s">
        <v>530</v>
      </c>
      <c r="B10" s="8" t="s">
        <v>531</v>
      </c>
    </row>
    <row r="11" spans="1:2" x14ac:dyDescent="0.2">
      <c r="A11" s="8" t="s">
        <v>532</v>
      </c>
      <c r="B11" s="8" t="s">
        <v>533</v>
      </c>
    </row>
    <row r="12" spans="1:2" x14ac:dyDescent="0.2">
      <c r="A12" s="8" t="s">
        <v>536</v>
      </c>
      <c r="B12" s="8" t="s">
        <v>537</v>
      </c>
    </row>
    <row r="13" spans="1:2" x14ac:dyDescent="0.2">
      <c r="A13" s="8" t="s">
        <v>503</v>
      </c>
      <c r="B13" s="8" t="s">
        <v>535</v>
      </c>
    </row>
    <row r="14" spans="1:2" x14ac:dyDescent="0.2">
      <c r="A14" s="8" t="s">
        <v>511</v>
      </c>
      <c r="B14" s="8" t="s">
        <v>535</v>
      </c>
    </row>
    <row r="15" spans="1:2" x14ac:dyDescent="0.2">
      <c r="A15" s="8" t="s">
        <v>538</v>
      </c>
      <c r="B15" s="8" t="s">
        <v>539</v>
      </c>
    </row>
    <row r="16" spans="1:2" x14ac:dyDescent="0.2">
      <c r="A16" s="8" t="s">
        <v>540</v>
      </c>
      <c r="B16" s="8" t="s">
        <v>541</v>
      </c>
    </row>
    <row r="17" spans="1:2" x14ac:dyDescent="0.2">
      <c r="A17" s="8" t="s">
        <v>542</v>
      </c>
      <c r="B17" s="8" t="s">
        <v>543</v>
      </c>
    </row>
    <row r="18" spans="1:2" x14ac:dyDescent="0.2">
      <c r="A18" s="8" t="s">
        <v>544</v>
      </c>
      <c r="B18" s="8" t="s">
        <v>545</v>
      </c>
    </row>
    <row r="19" spans="1:2" x14ac:dyDescent="0.2">
      <c r="A19" s="8" t="s">
        <v>546</v>
      </c>
      <c r="B19" s="8" t="s">
        <v>547</v>
      </c>
    </row>
    <row r="20" spans="1:2" x14ac:dyDescent="0.2">
      <c r="A20" s="8" t="s">
        <v>548</v>
      </c>
      <c r="B20" s="8" t="s">
        <v>549</v>
      </c>
    </row>
    <row r="21" spans="1:2" x14ac:dyDescent="0.2">
      <c r="A21" s="8" t="s">
        <v>550</v>
      </c>
      <c r="B21" s="8" t="s">
        <v>551</v>
      </c>
    </row>
    <row r="22" spans="1:2" x14ac:dyDescent="0.2">
      <c r="A22" s="8" t="s">
        <v>552</v>
      </c>
      <c r="B22" s="8" t="s">
        <v>553</v>
      </c>
    </row>
    <row r="23" spans="1:2" x14ac:dyDescent="0.2">
      <c r="A23" s="8" t="s">
        <v>497</v>
      </c>
      <c r="B23" s="8" t="s">
        <v>1377</v>
      </c>
    </row>
    <row r="24" spans="1:2" x14ac:dyDescent="0.2">
      <c r="A24" s="8" t="s">
        <v>598</v>
      </c>
      <c r="B24" s="8" t="s">
        <v>599</v>
      </c>
    </row>
    <row r="25" spans="1:2" x14ac:dyDescent="0.2">
      <c r="A25" s="8" t="s">
        <v>351</v>
      </c>
      <c r="B25" s="8" t="s">
        <v>352</v>
      </c>
    </row>
    <row r="26" spans="1:2" x14ac:dyDescent="0.2">
      <c r="A26" s="8" t="s">
        <v>554</v>
      </c>
      <c r="B26" s="8" t="s">
        <v>555</v>
      </c>
    </row>
    <row r="27" spans="1:2" x14ac:dyDescent="0.2">
      <c r="A27" s="8" t="s">
        <v>433</v>
      </c>
      <c r="B27" s="8" t="s">
        <v>556</v>
      </c>
    </row>
    <row r="28" spans="1:2" x14ac:dyDescent="0.2">
      <c r="A28" s="8" t="s">
        <v>560</v>
      </c>
      <c r="B28" s="8" t="s">
        <v>557</v>
      </c>
    </row>
    <row r="29" spans="1:2" x14ac:dyDescent="0.2">
      <c r="A29" s="8" t="s">
        <v>558</v>
      </c>
      <c r="B29" s="8" t="s">
        <v>559</v>
      </c>
    </row>
    <row r="30" spans="1:2" x14ac:dyDescent="0.2">
      <c r="A30" s="8" t="s">
        <v>561</v>
      </c>
      <c r="B30" s="8" t="s">
        <v>562</v>
      </c>
    </row>
    <row r="31" spans="1:2" x14ac:dyDescent="0.2">
      <c r="A31" s="8" t="s">
        <v>563</v>
      </c>
      <c r="B31" s="8" t="s">
        <v>564</v>
      </c>
    </row>
    <row r="32" spans="1:2" x14ac:dyDescent="0.2">
      <c r="A32" s="8" t="s">
        <v>565</v>
      </c>
      <c r="B32" s="8" t="s">
        <v>566</v>
      </c>
    </row>
    <row r="33" spans="1:2" x14ac:dyDescent="0.2">
      <c r="A33" s="8" t="s">
        <v>567</v>
      </c>
      <c r="B33" s="8" t="s">
        <v>568</v>
      </c>
    </row>
    <row r="34" spans="1:2" x14ac:dyDescent="0.2">
      <c r="A34" s="8" t="s">
        <v>569</v>
      </c>
      <c r="B34" s="8" t="s">
        <v>570</v>
      </c>
    </row>
    <row r="35" spans="1:2" x14ac:dyDescent="0.2">
      <c r="A35" s="8" t="s">
        <v>571</v>
      </c>
      <c r="B35" s="8" t="s">
        <v>572</v>
      </c>
    </row>
    <row r="36" spans="1:2" x14ac:dyDescent="0.2">
      <c r="A36" s="8" t="s">
        <v>573</v>
      </c>
      <c r="B36" s="8" t="s">
        <v>574</v>
      </c>
    </row>
    <row r="37" spans="1:2" x14ac:dyDescent="0.2">
      <c r="A37" s="8" t="s">
        <v>575</v>
      </c>
      <c r="B37" s="8" t="s">
        <v>576</v>
      </c>
    </row>
    <row r="38" spans="1:2" x14ac:dyDescent="0.2">
      <c r="A38" s="8" t="s">
        <v>577</v>
      </c>
      <c r="B38" s="8" t="s">
        <v>597</v>
      </c>
    </row>
    <row r="39" spans="1:2" x14ac:dyDescent="0.2">
      <c r="A39" s="8" t="s">
        <v>578</v>
      </c>
      <c r="B39" s="8" t="s">
        <v>579</v>
      </c>
    </row>
    <row r="40" spans="1:2" x14ac:dyDescent="0.2">
      <c r="A40" s="8" t="s">
        <v>580</v>
      </c>
      <c r="B40" s="8" t="s">
        <v>581</v>
      </c>
    </row>
    <row r="41" spans="1:2" x14ac:dyDescent="0.2">
      <c r="A41" s="8" t="s">
        <v>582</v>
      </c>
      <c r="B41" s="8" t="s">
        <v>583</v>
      </c>
    </row>
    <row r="42" spans="1:2" x14ac:dyDescent="0.2">
      <c r="A42" s="8" t="s">
        <v>584</v>
      </c>
      <c r="B42" s="8" t="s">
        <v>585</v>
      </c>
    </row>
    <row r="43" spans="1:2" x14ac:dyDescent="0.2">
      <c r="A43" s="8" t="s">
        <v>489</v>
      </c>
      <c r="B43" s="8" t="s">
        <v>586</v>
      </c>
    </row>
    <row r="44" spans="1:2" x14ac:dyDescent="0.2">
      <c r="A44" s="8" t="s">
        <v>587</v>
      </c>
      <c r="B44" s="8" t="s">
        <v>588</v>
      </c>
    </row>
    <row r="45" spans="1:2" x14ac:dyDescent="0.2">
      <c r="A45" s="8" t="s">
        <v>589</v>
      </c>
      <c r="B45" s="8" t="s">
        <v>297</v>
      </c>
    </row>
    <row r="46" spans="1:2" x14ac:dyDescent="0.2">
      <c r="A46" s="8" t="s">
        <v>590</v>
      </c>
      <c r="B46" s="8" t="s">
        <v>600</v>
      </c>
    </row>
    <row r="47" spans="1:2" x14ac:dyDescent="0.2">
      <c r="A47" s="8" t="s">
        <v>591</v>
      </c>
      <c r="B47" s="8" t="s">
        <v>599</v>
      </c>
    </row>
    <row r="48" spans="1:2" x14ac:dyDescent="0.2">
      <c r="A48" s="8" t="s">
        <v>592</v>
      </c>
      <c r="B48" s="8" t="s">
        <v>593</v>
      </c>
    </row>
    <row r="49" spans="1:2" x14ac:dyDescent="0.2">
      <c r="A49" s="8" t="s">
        <v>594</v>
      </c>
      <c r="B49" s="8" t="s">
        <v>595</v>
      </c>
    </row>
    <row r="50" spans="1:2" x14ac:dyDescent="0.2">
      <c r="A50" s="8" t="s">
        <v>601</v>
      </c>
      <c r="B50" s="8" t="s">
        <v>602</v>
      </c>
    </row>
    <row r="51" spans="1:2" x14ac:dyDescent="0.2">
      <c r="A51" s="8" t="s">
        <v>603</v>
      </c>
      <c r="B51" s="8" t="s">
        <v>604</v>
      </c>
    </row>
    <row r="52" spans="1:2" x14ac:dyDescent="0.2">
      <c r="A52" s="8" t="s">
        <v>605</v>
      </c>
      <c r="B52" s="8" t="s">
        <v>609</v>
      </c>
    </row>
    <row r="53" spans="1:2" x14ac:dyDescent="0.2">
      <c r="A53" s="8" t="s">
        <v>606</v>
      </c>
      <c r="B53" s="8" t="s">
        <v>607</v>
      </c>
    </row>
    <row r="54" spans="1:2" x14ac:dyDescent="0.2">
      <c r="A54" s="8" t="s">
        <v>628</v>
      </c>
      <c r="B54" s="8" t="s">
        <v>629</v>
      </c>
    </row>
    <row r="55" spans="1:2" x14ac:dyDescent="0.2">
      <c r="A55" s="8" t="s">
        <v>596</v>
      </c>
      <c r="B55" s="8" t="s">
        <v>597</v>
      </c>
    </row>
    <row r="56" spans="1:2" x14ac:dyDescent="0.2">
      <c r="A56" s="8" t="s">
        <v>610</v>
      </c>
      <c r="B56" s="8" t="s">
        <v>611</v>
      </c>
    </row>
    <row r="57" spans="1:2" x14ac:dyDescent="0.2">
      <c r="A57" s="8" t="s">
        <v>439</v>
      </c>
      <c r="B57" s="8" t="s">
        <v>612</v>
      </c>
    </row>
    <row r="58" spans="1:2" x14ac:dyDescent="0.2">
      <c r="A58" s="8" t="s">
        <v>405</v>
      </c>
      <c r="B58" s="8" t="s">
        <v>613</v>
      </c>
    </row>
    <row r="59" spans="1:2" x14ac:dyDescent="0.2">
      <c r="A59" s="8" t="s">
        <v>614</v>
      </c>
      <c r="B59" s="8" t="s">
        <v>615</v>
      </c>
    </row>
    <row r="60" spans="1:2" x14ac:dyDescent="0.2">
      <c r="A60" s="8" t="s">
        <v>616</v>
      </c>
      <c r="B60" s="8" t="s">
        <v>617</v>
      </c>
    </row>
    <row r="61" spans="1:2" x14ac:dyDescent="0.2">
      <c r="A61" s="8" t="s">
        <v>618</v>
      </c>
      <c r="B61" s="8" t="s">
        <v>619</v>
      </c>
    </row>
    <row r="62" spans="1:2" x14ac:dyDescent="0.2">
      <c r="A62" s="8" t="s">
        <v>620</v>
      </c>
      <c r="B62" s="8" t="s">
        <v>621</v>
      </c>
    </row>
    <row r="63" spans="1:2" x14ac:dyDescent="0.2">
      <c r="A63" s="8" t="s">
        <v>409</v>
      </c>
      <c r="B63" s="8" t="s">
        <v>622</v>
      </c>
    </row>
    <row r="64" spans="1:2" x14ac:dyDescent="0.2">
      <c r="A64" s="8" t="s">
        <v>623</v>
      </c>
      <c r="B64" s="8" t="s">
        <v>630</v>
      </c>
    </row>
    <row r="65" spans="1:2" x14ac:dyDescent="0.2">
      <c r="A65" s="8" t="s">
        <v>624</v>
      </c>
      <c r="B65" s="8" t="s">
        <v>625</v>
      </c>
    </row>
    <row r="66" spans="1:2" x14ac:dyDescent="0.2">
      <c r="A66" s="8" t="s">
        <v>626</v>
      </c>
      <c r="B66" s="8" t="s">
        <v>627</v>
      </c>
    </row>
    <row r="67" spans="1:2" x14ac:dyDescent="0.2">
      <c r="A67" s="8" t="s">
        <v>534</v>
      </c>
      <c r="B67" s="8" t="s">
        <v>537</v>
      </c>
    </row>
  </sheetData>
  <sheetProtection algorithmName="SHA-512" hashValue="+8WjIuqb4pmKabFURRbz6rtNZqyxLC7PcVwsYJU9j/xjpCB2vbONAulJ4v0gaSgWWGSqkHmb6vETKT+QVfC7gQ==" saltValue="/oOCZlPJq+8taz/52krxfA==" spinCount="100000" sheet="1" objects="1" scenarios="1" selectLockedCell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 enableFormatConditionsCalculation="0"/>
  <dimension ref="A1:B163"/>
  <sheetViews>
    <sheetView showGridLines="0" workbookViewId="0">
      <selection activeCell="B165" sqref="B165"/>
    </sheetView>
  </sheetViews>
  <sheetFormatPr baseColWidth="10" defaultColWidth="8.83203125" defaultRowHeight="15" x14ac:dyDescent="0.2"/>
  <cols>
    <col min="2" max="2" width="89.83203125" bestFit="1" customWidth="1"/>
  </cols>
  <sheetData>
    <row r="1" spans="1:2" x14ac:dyDescent="0.2">
      <c r="A1" s="8" t="s">
        <v>745</v>
      </c>
      <c r="B1" s="8" t="s">
        <v>746</v>
      </c>
    </row>
    <row r="2" spans="1:2" x14ac:dyDescent="0.2">
      <c r="A2" s="8" t="s">
        <v>755</v>
      </c>
      <c r="B2" s="8" t="s">
        <v>756</v>
      </c>
    </row>
    <row r="3" spans="1:2" x14ac:dyDescent="0.2">
      <c r="A3" s="8" t="s">
        <v>757</v>
      </c>
      <c r="B3" s="8" t="s">
        <v>758</v>
      </c>
    </row>
    <row r="4" spans="1:2" x14ac:dyDescent="0.2">
      <c r="A4" s="8" t="s">
        <v>253</v>
      </c>
      <c r="B4" s="8" t="s">
        <v>736</v>
      </c>
    </row>
    <row r="5" spans="1:2" x14ac:dyDescent="0.2">
      <c r="A5" s="8" t="s">
        <v>255</v>
      </c>
      <c r="B5" s="8" t="s">
        <v>759</v>
      </c>
    </row>
    <row r="6" spans="1:2" x14ac:dyDescent="0.2">
      <c r="A6" s="8" t="s">
        <v>760</v>
      </c>
      <c r="B6" s="8" t="s">
        <v>761</v>
      </c>
    </row>
    <row r="7" spans="1:2" x14ac:dyDescent="0.2">
      <c r="A7" s="8" t="s">
        <v>762</v>
      </c>
      <c r="B7" s="8" t="s">
        <v>763</v>
      </c>
    </row>
    <row r="8" spans="1:2" x14ac:dyDescent="0.2">
      <c r="A8" s="8" t="s">
        <v>428</v>
      </c>
      <c r="B8" s="8" t="s">
        <v>764</v>
      </c>
    </row>
    <row r="9" spans="1:2" x14ac:dyDescent="0.2">
      <c r="A9" s="8" t="s">
        <v>765</v>
      </c>
      <c r="B9" s="8" t="s">
        <v>766</v>
      </c>
    </row>
    <row r="10" spans="1:2" x14ac:dyDescent="0.2">
      <c r="A10" s="8" t="s">
        <v>767</v>
      </c>
      <c r="B10" s="8" t="s">
        <v>768</v>
      </c>
    </row>
    <row r="11" spans="1:2" x14ac:dyDescent="0.2">
      <c r="A11" s="8" t="s">
        <v>769</v>
      </c>
      <c r="B11" s="8" t="s">
        <v>770</v>
      </c>
    </row>
    <row r="12" spans="1:2" x14ac:dyDescent="0.2">
      <c r="A12" s="8" t="s">
        <v>771</v>
      </c>
      <c r="B12" s="8" t="s">
        <v>772</v>
      </c>
    </row>
    <row r="13" spans="1:2" x14ac:dyDescent="0.2">
      <c r="A13" s="8" t="s">
        <v>773</v>
      </c>
      <c r="B13" s="8" t="s">
        <v>739</v>
      </c>
    </row>
    <row r="14" spans="1:2" x14ac:dyDescent="0.2">
      <c r="A14" s="8" t="s">
        <v>738</v>
      </c>
      <c r="B14" s="8" t="s">
        <v>739</v>
      </c>
    </row>
    <row r="15" spans="1:2" x14ac:dyDescent="0.2">
      <c r="A15" s="8" t="s">
        <v>774</v>
      </c>
      <c r="B15" s="8" t="s">
        <v>775</v>
      </c>
    </row>
    <row r="16" spans="1:2" x14ac:dyDescent="0.2">
      <c r="A16" s="8" t="s">
        <v>776</v>
      </c>
      <c r="B16" s="8" t="s">
        <v>777</v>
      </c>
    </row>
    <row r="17" spans="1:2" x14ac:dyDescent="0.2">
      <c r="A17" s="8" t="s">
        <v>503</v>
      </c>
      <c r="B17" s="8" t="s">
        <v>778</v>
      </c>
    </row>
    <row r="18" spans="1:2" x14ac:dyDescent="0.2">
      <c r="A18" s="8" t="s">
        <v>503</v>
      </c>
      <c r="B18" s="8" t="s">
        <v>741</v>
      </c>
    </row>
    <row r="19" spans="1:2" x14ac:dyDescent="0.2">
      <c r="A19" s="8" t="s">
        <v>503</v>
      </c>
      <c r="B19" s="8" t="s">
        <v>535</v>
      </c>
    </row>
    <row r="20" spans="1:2" x14ac:dyDescent="0.2">
      <c r="A20" s="8" t="s">
        <v>503</v>
      </c>
      <c r="B20" s="8" t="s">
        <v>779</v>
      </c>
    </row>
    <row r="21" spans="1:2" x14ac:dyDescent="0.2">
      <c r="A21" s="8" t="s">
        <v>511</v>
      </c>
      <c r="B21" s="8" t="s">
        <v>535</v>
      </c>
    </row>
    <row r="22" spans="1:2" x14ac:dyDescent="0.2">
      <c r="A22" s="8" t="s">
        <v>511</v>
      </c>
      <c r="B22" s="8" t="s">
        <v>742</v>
      </c>
    </row>
    <row r="23" spans="1:2" x14ac:dyDescent="0.2">
      <c r="A23" s="8" t="s">
        <v>780</v>
      </c>
      <c r="B23" s="8" t="s">
        <v>781</v>
      </c>
    </row>
    <row r="24" spans="1:2" x14ac:dyDescent="0.2">
      <c r="A24" s="8" t="s">
        <v>782</v>
      </c>
      <c r="B24" s="8" t="s">
        <v>783</v>
      </c>
    </row>
    <row r="25" spans="1:2" x14ac:dyDescent="0.2">
      <c r="A25" s="8" t="s">
        <v>518</v>
      </c>
      <c r="B25" s="8" t="s">
        <v>638</v>
      </c>
    </row>
    <row r="26" spans="1:2" x14ac:dyDescent="0.2">
      <c r="A26" s="8" t="s">
        <v>784</v>
      </c>
      <c r="B26" s="8" t="s">
        <v>785</v>
      </c>
    </row>
    <row r="27" spans="1:2" x14ac:dyDescent="0.2">
      <c r="A27" s="8" t="s">
        <v>786</v>
      </c>
      <c r="B27" s="8" t="s">
        <v>787</v>
      </c>
    </row>
    <row r="28" spans="1:2" x14ac:dyDescent="0.2">
      <c r="A28" s="8" t="s">
        <v>788</v>
      </c>
      <c r="B28" s="8" t="s">
        <v>789</v>
      </c>
    </row>
    <row r="29" spans="1:2" x14ac:dyDescent="0.2">
      <c r="A29" s="8" t="s">
        <v>790</v>
      </c>
      <c r="B29" s="8" t="s">
        <v>791</v>
      </c>
    </row>
    <row r="30" spans="1:2" x14ac:dyDescent="0.2">
      <c r="A30" s="8" t="s">
        <v>792</v>
      </c>
      <c r="B30" s="8" t="s">
        <v>793</v>
      </c>
    </row>
    <row r="31" spans="1:2" x14ac:dyDescent="0.2">
      <c r="A31" s="8" t="s">
        <v>794</v>
      </c>
      <c r="B31" s="8" t="s">
        <v>795</v>
      </c>
    </row>
    <row r="32" spans="1:2" x14ac:dyDescent="0.2">
      <c r="A32" s="8" t="s">
        <v>796</v>
      </c>
      <c r="B32" s="8" t="s">
        <v>797</v>
      </c>
    </row>
    <row r="33" spans="1:2" x14ac:dyDescent="0.2">
      <c r="A33" s="8" t="s">
        <v>798</v>
      </c>
      <c r="B33" s="8" t="s">
        <v>799</v>
      </c>
    </row>
    <row r="34" spans="1:2" x14ac:dyDescent="0.2">
      <c r="A34" s="8" t="s">
        <v>800</v>
      </c>
      <c r="B34" s="8" t="s">
        <v>801</v>
      </c>
    </row>
    <row r="35" spans="1:2" x14ac:dyDescent="0.2">
      <c r="A35" s="8" t="s">
        <v>802</v>
      </c>
      <c r="B35" s="8" t="s">
        <v>803</v>
      </c>
    </row>
    <row r="36" spans="1:2" x14ac:dyDescent="0.2">
      <c r="A36" s="8" t="s">
        <v>804</v>
      </c>
      <c r="B36" s="8" t="s">
        <v>805</v>
      </c>
    </row>
    <row r="37" spans="1:2" x14ac:dyDescent="0.2">
      <c r="A37" s="8" t="s">
        <v>806</v>
      </c>
      <c r="B37" s="8" t="s">
        <v>807</v>
      </c>
    </row>
    <row r="38" spans="1:2" x14ac:dyDescent="0.2">
      <c r="A38" s="8" t="s">
        <v>808</v>
      </c>
      <c r="B38" s="8" t="s">
        <v>809</v>
      </c>
    </row>
    <row r="39" spans="1:2" x14ac:dyDescent="0.2">
      <c r="A39" s="8" t="s">
        <v>810</v>
      </c>
      <c r="B39" s="8" t="s">
        <v>811</v>
      </c>
    </row>
    <row r="40" spans="1:2" x14ac:dyDescent="0.2">
      <c r="A40" s="8" t="s">
        <v>812</v>
      </c>
      <c r="B40" s="8" t="s">
        <v>803</v>
      </c>
    </row>
    <row r="41" spans="1:2" x14ac:dyDescent="0.2">
      <c r="A41" s="8" t="s">
        <v>813</v>
      </c>
      <c r="B41" s="8" t="s">
        <v>814</v>
      </c>
    </row>
    <row r="42" spans="1:2" x14ac:dyDescent="0.2">
      <c r="A42" s="8" t="s">
        <v>815</v>
      </c>
      <c r="B42" s="8" t="s">
        <v>816</v>
      </c>
    </row>
    <row r="43" spans="1:2" x14ac:dyDescent="0.2">
      <c r="A43" s="8" t="s">
        <v>817</v>
      </c>
      <c r="B43" s="8" t="s">
        <v>818</v>
      </c>
    </row>
    <row r="44" spans="1:2" x14ac:dyDescent="0.2">
      <c r="A44" s="8" t="s">
        <v>819</v>
      </c>
      <c r="B44" s="8" t="s">
        <v>820</v>
      </c>
    </row>
    <row r="45" spans="1:2" x14ac:dyDescent="0.2">
      <c r="A45" s="8" t="s">
        <v>821</v>
      </c>
      <c r="B45" s="8" t="s">
        <v>822</v>
      </c>
    </row>
    <row r="46" spans="1:2" x14ac:dyDescent="0.2">
      <c r="A46" s="8" t="s">
        <v>823</v>
      </c>
      <c r="B46" s="8" t="s">
        <v>824</v>
      </c>
    </row>
    <row r="47" spans="1:2" x14ac:dyDescent="0.2">
      <c r="A47" s="8" t="s">
        <v>825</v>
      </c>
      <c r="B47" s="8" t="s">
        <v>826</v>
      </c>
    </row>
    <row r="48" spans="1:2" x14ac:dyDescent="0.2">
      <c r="A48" s="8" t="s">
        <v>827</v>
      </c>
      <c r="B48" s="8" t="s">
        <v>828</v>
      </c>
    </row>
    <row r="49" spans="1:2" x14ac:dyDescent="0.2">
      <c r="A49" s="8" t="s">
        <v>509</v>
      </c>
      <c r="B49" s="8" t="s">
        <v>764</v>
      </c>
    </row>
    <row r="50" spans="1:2" x14ac:dyDescent="0.2">
      <c r="A50" s="8" t="s">
        <v>829</v>
      </c>
      <c r="B50" s="8" t="s">
        <v>830</v>
      </c>
    </row>
    <row r="51" spans="1:2" x14ac:dyDescent="0.2">
      <c r="A51" s="8" t="s">
        <v>831</v>
      </c>
      <c r="B51" s="8" t="s">
        <v>832</v>
      </c>
    </row>
    <row r="52" spans="1:2" x14ac:dyDescent="0.2">
      <c r="A52" s="8" t="s">
        <v>833</v>
      </c>
      <c r="B52" s="8" t="s">
        <v>834</v>
      </c>
    </row>
    <row r="53" spans="1:2" x14ac:dyDescent="0.2">
      <c r="A53" s="8" t="s">
        <v>835</v>
      </c>
      <c r="B53" s="8" t="s">
        <v>836</v>
      </c>
    </row>
    <row r="54" spans="1:2" x14ac:dyDescent="0.2">
      <c r="A54" s="8" t="s">
        <v>837</v>
      </c>
      <c r="B54" s="8" t="s">
        <v>838</v>
      </c>
    </row>
    <row r="55" spans="1:2" x14ac:dyDescent="0.2">
      <c r="A55" s="8" t="s">
        <v>839</v>
      </c>
      <c r="B55" s="8" t="s">
        <v>840</v>
      </c>
    </row>
    <row r="56" spans="1:2" x14ac:dyDescent="0.2">
      <c r="A56" s="8" t="s">
        <v>841</v>
      </c>
      <c r="B56" s="8" t="s">
        <v>842</v>
      </c>
    </row>
    <row r="57" spans="1:2" x14ac:dyDescent="0.2">
      <c r="A57" s="8" t="s">
        <v>843</v>
      </c>
      <c r="B57" s="8" t="s">
        <v>844</v>
      </c>
    </row>
    <row r="58" spans="1:2" x14ac:dyDescent="0.2">
      <c r="A58" s="8" t="s">
        <v>845</v>
      </c>
      <c r="B58" s="8" t="s">
        <v>846</v>
      </c>
    </row>
    <row r="59" spans="1:2" x14ac:dyDescent="0.2">
      <c r="A59" s="8" t="s">
        <v>847</v>
      </c>
      <c r="B59" s="8" t="s">
        <v>848</v>
      </c>
    </row>
    <row r="60" spans="1:2" x14ac:dyDescent="0.2">
      <c r="A60" s="8" t="s">
        <v>849</v>
      </c>
      <c r="B60" s="8" t="s">
        <v>850</v>
      </c>
    </row>
    <row r="61" spans="1:2" x14ac:dyDescent="0.2">
      <c r="A61" s="8" t="s">
        <v>851</v>
      </c>
      <c r="B61" s="8" t="s">
        <v>852</v>
      </c>
    </row>
    <row r="62" spans="1:2" x14ac:dyDescent="0.2">
      <c r="A62" s="8" t="s">
        <v>853</v>
      </c>
      <c r="B62" s="8" t="s">
        <v>854</v>
      </c>
    </row>
    <row r="63" spans="1:2" x14ac:dyDescent="0.2">
      <c r="A63" s="8" t="s">
        <v>855</v>
      </c>
      <c r="B63" s="8" t="s">
        <v>856</v>
      </c>
    </row>
    <row r="64" spans="1:2" x14ac:dyDescent="0.2">
      <c r="A64" s="8" t="s">
        <v>514</v>
      </c>
      <c r="B64" s="8" t="s">
        <v>636</v>
      </c>
    </row>
    <row r="65" spans="1:2" x14ac:dyDescent="0.2">
      <c r="A65" s="8" t="s">
        <v>857</v>
      </c>
      <c r="B65" s="8" t="s">
        <v>858</v>
      </c>
    </row>
    <row r="66" spans="1:2" x14ac:dyDescent="0.2">
      <c r="A66" s="8" t="s">
        <v>859</v>
      </c>
      <c r="B66" s="8" t="s">
        <v>860</v>
      </c>
    </row>
    <row r="67" spans="1:2" x14ac:dyDescent="0.2">
      <c r="A67" s="8" t="s">
        <v>861</v>
      </c>
      <c r="B67" s="8" t="s">
        <v>862</v>
      </c>
    </row>
    <row r="68" spans="1:2" x14ac:dyDescent="0.2">
      <c r="A68" s="8" t="s">
        <v>863</v>
      </c>
      <c r="B68" s="8" t="s">
        <v>864</v>
      </c>
    </row>
    <row r="69" spans="1:2" x14ac:dyDescent="0.2">
      <c r="A69" s="8" t="s">
        <v>865</v>
      </c>
      <c r="B69" s="8" t="s">
        <v>866</v>
      </c>
    </row>
    <row r="70" spans="1:2" x14ac:dyDescent="0.2">
      <c r="A70" s="8" t="s">
        <v>867</v>
      </c>
      <c r="B70" s="8" t="s">
        <v>868</v>
      </c>
    </row>
    <row r="71" spans="1:2" x14ac:dyDescent="0.2">
      <c r="A71" s="8" t="s">
        <v>869</v>
      </c>
      <c r="B71" s="8" t="s">
        <v>870</v>
      </c>
    </row>
    <row r="72" spans="1:2" x14ac:dyDescent="0.2">
      <c r="A72" s="8" t="s">
        <v>515</v>
      </c>
      <c r="B72" s="8" t="s">
        <v>636</v>
      </c>
    </row>
    <row r="73" spans="1:2" x14ac:dyDescent="0.2">
      <c r="A73" s="8" t="s">
        <v>598</v>
      </c>
      <c r="B73" s="8" t="s">
        <v>599</v>
      </c>
    </row>
    <row r="74" spans="1:2" x14ac:dyDescent="0.2">
      <c r="A74" s="8" t="s">
        <v>737</v>
      </c>
      <c r="B74" s="8" t="s">
        <v>736</v>
      </c>
    </row>
    <row r="75" spans="1:2" x14ac:dyDescent="0.2">
      <c r="A75" s="8" t="s">
        <v>871</v>
      </c>
      <c r="B75" s="8" t="s">
        <v>872</v>
      </c>
    </row>
    <row r="76" spans="1:2" x14ac:dyDescent="0.2">
      <c r="A76" s="8" t="s">
        <v>873</v>
      </c>
      <c r="B76" s="8" t="s">
        <v>874</v>
      </c>
    </row>
    <row r="77" spans="1:2" x14ac:dyDescent="0.2">
      <c r="A77" s="8" t="s">
        <v>432</v>
      </c>
      <c r="B77" s="8" t="s">
        <v>875</v>
      </c>
    </row>
    <row r="78" spans="1:2" x14ac:dyDescent="0.2">
      <c r="A78" s="8" t="s">
        <v>495</v>
      </c>
      <c r="B78" s="8" t="s">
        <v>658</v>
      </c>
    </row>
    <row r="79" spans="1:2" x14ac:dyDescent="0.2">
      <c r="A79" s="8" t="s">
        <v>876</v>
      </c>
      <c r="B79" s="8" t="s">
        <v>877</v>
      </c>
    </row>
    <row r="80" spans="1:2" x14ac:dyDescent="0.2">
      <c r="A80" s="8" t="s">
        <v>878</v>
      </c>
      <c r="B80" s="8" t="s">
        <v>879</v>
      </c>
    </row>
    <row r="81" spans="1:2" x14ac:dyDescent="0.2">
      <c r="A81" s="8" t="s">
        <v>880</v>
      </c>
      <c r="B81" s="8" t="s">
        <v>881</v>
      </c>
    </row>
    <row r="82" spans="1:2" x14ac:dyDescent="0.2">
      <c r="A82" s="8" t="s">
        <v>882</v>
      </c>
      <c r="B82" s="8" t="s">
        <v>883</v>
      </c>
    </row>
    <row r="83" spans="1:2" x14ac:dyDescent="0.2">
      <c r="A83" s="8" t="s">
        <v>884</v>
      </c>
      <c r="B83" s="8" t="s">
        <v>885</v>
      </c>
    </row>
    <row r="84" spans="1:2" x14ac:dyDescent="0.2">
      <c r="A84" s="8" t="s">
        <v>753</v>
      </c>
      <c r="B84" s="8" t="s">
        <v>754</v>
      </c>
    </row>
    <row r="85" spans="1:2" x14ac:dyDescent="0.2">
      <c r="A85" s="8" t="s">
        <v>886</v>
      </c>
      <c r="B85" s="8" t="s">
        <v>887</v>
      </c>
    </row>
    <row r="86" spans="1:2" x14ac:dyDescent="0.2">
      <c r="A86" s="8" t="s">
        <v>740</v>
      </c>
      <c r="B86" s="8" t="s">
        <v>741</v>
      </c>
    </row>
    <row r="87" spans="1:2" x14ac:dyDescent="0.2">
      <c r="A87" s="8" t="s">
        <v>285</v>
      </c>
      <c r="B87" s="8" t="s">
        <v>286</v>
      </c>
    </row>
    <row r="88" spans="1:2" x14ac:dyDescent="0.2">
      <c r="A88" s="8" t="s">
        <v>287</v>
      </c>
      <c r="B88" s="8" t="s">
        <v>288</v>
      </c>
    </row>
    <row r="89" spans="1:2" x14ac:dyDescent="0.2">
      <c r="A89" s="8" t="s">
        <v>888</v>
      </c>
      <c r="B89" s="8" t="s">
        <v>748</v>
      </c>
    </row>
    <row r="90" spans="1:2" x14ac:dyDescent="0.2">
      <c r="A90" s="8" t="s">
        <v>889</v>
      </c>
      <c r="B90" s="8" t="s">
        <v>750</v>
      </c>
    </row>
    <row r="91" spans="1:2" x14ac:dyDescent="0.2">
      <c r="A91" s="8" t="s">
        <v>488</v>
      </c>
      <c r="B91" s="8" t="s">
        <v>736</v>
      </c>
    </row>
    <row r="92" spans="1:2" x14ac:dyDescent="0.2">
      <c r="A92" s="8" t="s">
        <v>890</v>
      </c>
      <c r="B92" s="8" t="s">
        <v>891</v>
      </c>
    </row>
    <row r="93" spans="1:2" x14ac:dyDescent="0.2">
      <c r="A93" s="8" t="s">
        <v>892</v>
      </c>
      <c r="B93" s="8" t="s">
        <v>893</v>
      </c>
    </row>
    <row r="94" spans="1:2" x14ac:dyDescent="0.2">
      <c r="A94" s="8" t="s">
        <v>483</v>
      </c>
      <c r="B94" s="8" t="s">
        <v>894</v>
      </c>
    </row>
    <row r="95" spans="1:2" x14ac:dyDescent="0.2">
      <c r="A95" s="8" t="s">
        <v>483</v>
      </c>
      <c r="B95" s="8" t="s">
        <v>680</v>
      </c>
    </row>
    <row r="96" spans="1:2" x14ac:dyDescent="0.2">
      <c r="A96" s="8" t="s">
        <v>482</v>
      </c>
      <c r="B96" s="8" t="s">
        <v>895</v>
      </c>
    </row>
    <row r="97" spans="1:2" x14ac:dyDescent="0.2">
      <c r="A97" s="8" t="s">
        <v>435</v>
      </c>
      <c r="B97" s="8" t="s">
        <v>896</v>
      </c>
    </row>
    <row r="98" spans="1:2" x14ac:dyDescent="0.2">
      <c r="A98" s="8" t="s">
        <v>477</v>
      </c>
      <c r="B98" s="8" t="s">
        <v>687</v>
      </c>
    </row>
    <row r="99" spans="1:2" x14ac:dyDescent="0.2">
      <c r="A99" s="8" t="s">
        <v>897</v>
      </c>
      <c r="B99" s="8" t="s">
        <v>898</v>
      </c>
    </row>
    <row r="100" spans="1:2" x14ac:dyDescent="0.2">
      <c r="A100" s="8" t="s">
        <v>476</v>
      </c>
      <c r="B100" s="8" t="s">
        <v>688</v>
      </c>
    </row>
    <row r="101" spans="1:2" x14ac:dyDescent="0.2">
      <c r="A101" s="8" t="s">
        <v>436</v>
      </c>
      <c r="B101" s="8" t="s">
        <v>636</v>
      </c>
    </row>
    <row r="102" spans="1:2" x14ac:dyDescent="0.2">
      <c r="A102" s="8" t="s">
        <v>591</v>
      </c>
      <c r="B102" s="8" t="s">
        <v>599</v>
      </c>
    </row>
    <row r="103" spans="1:2" x14ac:dyDescent="0.2">
      <c r="A103" s="8" t="s">
        <v>469</v>
      </c>
      <c r="B103" s="8" t="s">
        <v>695</v>
      </c>
    </row>
    <row r="104" spans="1:2" x14ac:dyDescent="0.2">
      <c r="A104" s="8" t="s">
        <v>466</v>
      </c>
      <c r="B104" s="8" t="s">
        <v>899</v>
      </c>
    </row>
    <row r="105" spans="1:2" x14ac:dyDescent="0.2">
      <c r="A105" s="8" t="s">
        <v>465</v>
      </c>
      <c r="B105" s="8" t="s">
        <v>900</v>
      </c>
    </row>
    <row r="106" spans="1:2" x14ac:dyDescent="0.2">
      <c r="A106" s="8" t="s">
        <v>463</v>
      </c>
      <c r="B106" s="8" t="s">
        <v>702</v>
      </c>
    </row>
    <row r="107" spans="1:2" x14ac:dyDescent="0.2">
      <c r="A107" s="8" t="s">
        <v>460</v>
      </c>
      <c r="B107" s="8" t="s">
        <v>901</v>
      </c>
    </row>
    <row r="108" spans="1:2" x14ac:dyDescent="0.2">
      <c r="A108" s="8" t="s">
        <v>452</v>
      </c>
      <c r="B108" s="8" t="s">
        <v>714</v>
      </c>
    </row>
    <row r="109" spans="1:2" x14ac:dyDescent="0.2">
      <c r="A109" s="8" t="s">
        <v>628</v>
      </c>
      <c r="B109" s="8" t="s">
        <v>630</v>
      </c>
    </row>
    <row r="110" spans="1:2" x14ac:dyDescent="0.2">
      <c r="A110" s="8" t="s">
        <v>902</v>
      </c>
      <c r="B110" s="8" t="s">
        <v>903</v>
      </c>
    </row>
    <row r="111" spans="1:2" x14ac:dyDescent="0.2">
      <c r="A111" s="8" t="s">
        <v>904</v>
      </c>
      <c r="B111" s="8" t="s">
        <v>905</v>
      </c>
    </row>
    <row r="112" spans="1:2" x14ac:dyDescent="0.2">
      <c r="A112" s="8" t="s">
        <v>906</v>
      </c>
      <c r="B112" s="8" t="s">
        <v>907</v>
      </c>
    </row>
    <row r="113" spans="1:2" x14ac:dyDescent="0.2">
      <c r="A113" s="8" t="s">
        <v>747</v>
      </c>
      <c r="B113" s="8" t="s">
        <v>748</v>
      </c>
    </row>
    <row r="114" spans="1:2" x14ac:dyDescent="0.2">
      <c r="A114" s="8" t="s">
        <v>908</v>
      </c>
      <c r="B114" s="8" t="s">
        <v>909</v>
      </c>
    </row>
    <row r="115" spans="1:2" x14ac:dyDescent="0.2">
      <c r="A115" s="8" t="s">
        <v>910</v>
      </c>
      <c r="B115" s="8" t="s">
        <v>911</v>
      </c>
    </row>
    <row r="116" spans="1:2" x14ac:dyDescent="0.2">
      <c r="A116" s="8" t="s">
        <v>749</v>
      </c>
      <c r="B116" s="8" t="s">
        <v>750</v>
      </c>
    </row>
    <row r="117" spans="1:2" x14ac:dyDescent="0.2">
      <c r="A117" s="8" t="s">
        <v>912</v>
      </c>
      <c r="B117" s="8" t="s">
        <v>913</v>
      </c>
    </row>
    <row r="118" spans="1:2" x14ac:dyDescent="0.2">
      <c r="A118" s="8" t="s">
        <v>914</v>
      </c>
      <c r="B118" s="8" t="s">
        <v>915</v>
      </c>
    </row>
    <row r="119" spans="1:2" x14ac:dyDescent="0.2">
      <c r="A119" s="8" t="s">
        <v>916</v>
      </c>
      <c r="B119" s="8" t="s">
        <v>917</v>
      </c>
    </row>
    <row r="120" spans="1:2" x14ac:dyDescent="0.2">
      <c r="A120" s="8" t="s">
        <v>918</v>
      </c>
      <c r="B120" s="8" t="s">
        <v>919</v>
      </c>
    </row>
    <row r="121" spans="1:2" x14ac:dyDescent="0.2">
      <c r="A121" s="8" t="s">
        <v>920</v>
      </c>
      <c r="B121" s="8" t="s">
        <v>921</v>
      </c>
    </row>
    <row r="122" spans="1:2" x14ac:dyDescent="0.2">
      <c r="A122" s="8" t="s">
        <v>922</v>
      </c>
      <c r="B122" s="8" t="s">
        <v>923</v>
      </c>
    </row>
    <row r="123" spans="1:2" x14ac:dyDescent="0.2">
      <c r="A123" s="8" t="s">
        <v>924</v>
      </c>
      <c r="B123" s="8" t="s">
        <v>752</v>
      </c>
    </row>
    <row r="124" spans="1:2" x14ac:dyDescent="0.2">
      <c r="A124" s="8" t="s">
        <v>925</v>
      </c>
      <c r="B124" s="8" t="s">
        <v>926</v>
      </c>
    </row>
    <row r="125" spans="1:2" x14ac:dyDescent="0.2">
      <c r="A125" s="8" t="s">
        <v>927</v>
      </c>
      <c r="B125" s="8" t="s">
        <v>928</v>
      </c>
    </row>
    <row r="126" spans="1:2" x14ac:dyDescent="0.2">
      <c r="A126" s="8" t="s">
        <v>929</v>
      </c>
      <c r="B126" s="8" t="s">
        <v>930</v>
      </c>
    </row>
    <row r="127" spans="1:2" x14ac:dyDescent="0.2">
      <c r="A127" s="8" t="s">
        <v>931</v>
      </c>
      <c r="B127" s="8" t="s">
        <v>932</v>
      </c>
    </row>
    <row r="128" spans="1:2" x14ac:dyDescent="0.2">
      <c r="A128" s="8" t="s">
        <v>933</v>
      </c>
      <c r="B128" s="8" t="s">
        <v>934</v>
      </c>
    </row>
    <row r="129" spans="1:2" x14ac:dyDescent="0.2">
      <c r="A129" s="8" t="s">
        <v>935</v>
      </c>
      <c r="B129" s="8" t="s">
        <v>936</v>
      </c>
    </row>
    <row r="130" spans="1:2" x14ac:dyDescent="0.2">
      <c r="A130" s="8" t="s">
        <v>937</v>
      </c>
      <c r="B130" s="8" t="s">
        <v>938</v>
      </c>
    </row>
    <row r="131" spans="1:2" x14ac:dyDescent="0.2">
      <c r="A131" s="8" t="s">
        <v>939</v>
      </c>
      <c r="B131" s="8" t="s">
        <v>940</v>
      </c>
    </row>
    <row r="132" spans="1:2" x14ac:dyDescent="0.2">
      <c r="A132" s="8" t="s">
        <v>941</v>
      </c>
      <c r="B132" s="8" t="s">
        <v>942</v>
      </c>
    </row>
    <row r="133" spans="1:2" x14ac:dyDescent="0.2">
      <c r="A133" s="8" t="s">
        <v>943</v>
      </c>
      <c r="B133" s="8" t="s">
        <v>944</v>
      </c>
    </row>
    <row r="134" spans="1:2" x14ac:dyDescent="0.2">
      <c r="A134" s="8" t="s">
        <v>945</v>
      </c>
      <c r="B134" s="8" t="s">
        <v>946</v>
      </c>
    </row>
    <row r="135" spans="1:2" x14ac:dyDescent="0.2">
      <c r="A135" s="8" t="s">
        <v>947</v>
      </c>
      <c r="B135" s="8" t="s">
        <v>948</v>
      </c>
    </row>
    <row r="136" spans="1:2" x14ac:dyDescent="0.2">
      <c r="A136" s="8" t="s">
        <v>949</v>
      </c>
      <c r="B136" s="8" t="s">
        <v>950</v>
      </c>
    </row>
    <row r="137" spans="1:2" x14ac:dyDescent="0.2">
      <c r="A137" s="8" t="s">
        <v>519</v>
      </c>
      <c r="B137" s="8" t="s">
        <v>638</v>
      </c>
    </row>
    <row r="138" spans="1:2" x14ac:dyDescent="0.2">
      <c r="A138" s="8" t="s">
        <v>951</v>
      </c>
      <c r="B138" s="8" t="s">
        <v>952</v>
      </c>
    </row>
    <row r="139" spans="1:2" x14ac:dyDescent="0.2">
      <c r="A139" s="8" t="s">
        <v>953</v>
      </c>
      <c r="B139" s="8" t="s">
        <v>954</v>
      </c>
    </row>
    <row r="140" spans="1:2" x14ac:dyDescent="0.2">
      <c r="A140" s="8" t="s">
        <v>955</v>
      </c>
      <c r="B140" s="8" t="s">
        <v>956</v>
      </c>
    </row>
    <row r="141" spans="1:2" x14ac:dyDescent="0.2">
      <c r="A141" s="8" t="s">
        <v>957</v>
      </c>
      <c r="B141" s="8" t="s">
        <v>958</v>
      </c>
    </row>
    <row r="142" spans="1:2" x14ac:dyDescent="0.2">
      <c r="A142" s="8" t="s">
        <v>959</v>
      </c>
      <c r="B142" s="8" t="s">
        <v>960</v>
      </c>
    </row>
    <row r="143" spans="1:2" x14ac:dyDescent="0.2">
      <c r="A143" s="8" t="s">
        <v>623</v>
      </c>
      <c r="B143" s="8" t="s">
        <v>630</v>
      </c>
    </row>
    <row r="144" spans="1:2" x14ac:dyDescent="0.2">
      <c r="A144" s="8" t="s">
        <v>961</v>
      </c>
      <c r="B144" s="8" t="s">
        <v>962</v>
      </c>
    </row>
    <row r="145" spans="1:2" x14ac:dyDescent="0.2">
      <c r="A145" s="8" t="s">
        <v>963</v>
      </c>
      <c r="B145" s="8" t="s">
        <v>964</v>
      </c>
    </row>
    <row r="146" spans="1:2" x14ac:dyDescent="0.2">
      <c r="A146" s="8" t="s">
        <v>965</v>
      </c>
      <c r="B146" s="8" t="s">
        <v>803</v>
      </c>
    </row>
    <row r="147" spans="1:2" x14ac:dyDescent="0.2">
      <c r="A147" s="8" t="s">
        <v>966</v>
      </c>
      <c r="B147" s="8" t="s">
        <v>967</v>
      </c>
    </row>
    <row r="148" spans="1:2" x14ac:dyDescent="0.2">
      <c r="A148" s="8" t="s">
        <v>968</v>
      </c>
      <c r="B148" s="8" t="s">
        <v>969</v>
      </c>
    </row>
    <row r="149" spans="1:2" x14ac:dyDescent="0.2">
      <c r="A149" s="8" t="s">
        <v>970</v>
      </c>
      <c r="B149" s="8" t="s">
        <v>754</v>
      </c>
    </row>
    <row r="150" spans="1:2" x14ac:dyDescent="0.2">
      <c r="A150" s="8" t="s">
        <v>971</v>
      </c>
      <c r="B150" s="8" t="s">
        <v>17</v>
      </c>
    </row>
    <row r="151" spans="1:2" x14ac:dyDescent="0.2">
      <c r="A151" s="8" t="s">
        <v>972</v>
      </c>
      <c r="B151" s="8" t="s">
        <v>973</v>
      </c>
    </row>
    <row r="152" spans="1:2" x14ac:dyDescent="0.2">
      <c r="A152" s="8" t="s">
        <v>974</v>
      </c>
      <c r="B152" s="8" t="s">
        <v>975</v>
      </c>
    </row>
    <row r="153" spans="1:2" x14ac:dyDescent="0.2">
      <c r="A153" s="8" t="s">
        <v>441</v>
      </c>
      <c r="B153" s="8" t="s">
        <v>728</v>
      </c>
    </row>
    <row r="154" spans="1:2" x14ac:dyDescent="0.2">
      <c r="A154" s="8" t="s">
        <v>976</v>
      </c>
      <c r="B154" s="8" t="s">
        <v>977</v>
      </c>
    </row>
    <row r="155" spans="1:2" x14ac:dyDescent="0.2">
      <c r="A155" s="8" t="s">
        <v>743</v>
      </c>
      <c r="B155" s="8" t="s">
        <v>744</v>
      </c>
    </row>
    <row r="156" spans="1:2" x14ac:dyDescent="0.2">
      <c r="A156" s="8" t="s">
        <v>751</v>
      </c>
      <c r="B156" s="8" t="s">
        <v>752</v>
      </c>
    </row>
    <row r="157" spans="1:2" x14ac:dyDescent="0.2">
      <c r="A157" s="159" t="s">
        <v>729</v>
      </c>
      <c r="B157" s="160"/>
    </row>
    <row r="158" spans="1:2" x14ac:dyDescent="0.2">
      <c r="A158" s="163" t="s">
        <v>730</v>
      </c>
      <c r="B158" s="164"/>
    </row>
    <row r="159" spans="1:2" x14ac:dyDescent="0.2">
      <c r="A159" s="163" t="s">
        <v>731</v>
      </c>
      <c r="B159" s="164"/>
    </row>
    <row r="160" spans="1:2" x14ac:dyDescent="0.2">
      <c r="A160" s="163" t="s">
        <v>732</v>
      </c>
      <c r="B160" s="164"/>
    </row>
    <row r="161" spans="1:2" x14ac:dyDescent="0.2">
      <c r="A161" s="163" t="s">
        <v>733</v>
      </c>
      <c r="B161" s="164"/>
    </row>
    <row r="162" spans="1:2" x14ac:dyDescent="0.2">
      <c r="A162" s="163" t="s">
        <v>734</v>
      </c>
      <c r="B162" s="164"/>
    </row>
    <row r="163" spans="1:2" x14ac:dyDescent="0.2">
      <c r="A163" s="161" t="s">
        <v>735</v>
      </c>
      <c r="B163" s="162"/>
    </row>
  </sheetData>
  <sheetProtection algorithmName="SHA-512" hashValue="EADw5PW9MQOyIOlfuGUI6Rrak/6VuV8UDiYB3g5EP8TWlzQxpJzV9CCekC6DKYLhCmiP9EtFsen0e/vdlTFCZQ==" saltValue="yAuqnRbyy2ug7EjzHkKCyw==" spinCount="100000" sheet="1" objects="1" scenarios="1" selectLockedCells="1"/>
  <mergeCells count="7">
    <mergeCell ref="A157:B157"/>
    <mergeCell ref="A163:B163"/>
    <mergeCell ref="A162:B162"/>
    <mergeCell ref="A161:B161"/>
    <mergeCell ref="A160:B160"/>
    <mergeCell ref="A159:B159"/>
    <mergeCell ref="A158:B15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 enableFormatConditionsCalculation="0"/>
  <dimension ref="A1:B97"/>
  <sheetViews>
    <sheetView showGridLines="0" workbookViewId="0">
      <selection activeCell="B30" sqref="B30"/>
    </sheetView>
  </sheetViews>
  <sheetFormatPr baseColWidth="10" defaultColWidth="8.83203125" defaultRowHeight="15" x14ac:dyDescent="0.2"/>
  <cols>
    <col min="2" max="2" width="76.5" bestFit="1" customWidth="1"/>
  </cols>
  <sheetData>
    <row r="1" spans="1:2" x14ac:dyDescent="0.2">
      <c r="A1" s="8" t="s">
        <v>745</v>
      </c>
      <c r="B1" s="8" t="s">
        <v>983</v>
      </c>
    </row>
    <row r="2" spans="1:2" x14ac:dyDescent="0.2">
      <c r="A2" s="8" t="s">
        <v>236</v>
      </c>
      <c r="B2" s="8" t="s">
        <v>237</v>
      </c>
    </row>
    <row r="3" spans="1:2" x14ac:dyDescent="0.2">
      <c r="A3" s="8" t="s">
        <v>238</v>
      </c>
      <c r="B3" s="8" t="s">
        <v>239</v>
      </c>
    </row>
    <row r="4" spans="1:2" x14ac:dyDescent="0.2">
      <c r="A4" s="8" t="s">
        <v>244</v>
      </c>
      <c r="B4" s="8" t="s">
        <v>986</v>
      </c>
    </row>
    <row r="5" spans="1:2" x14ac:dyDescent="0.2">
      <c r="A5" s="8" t="s">
        <v>246</v>
      </c>
      <c r="B5" s="8" t="s">
        <v>247</v>
      </c>
    </row>
    <row r="6" spans="1:2" x14ac:dyDescent="0.2">
      <c r="A6" s="8" t="s">
        <v>987</v>
      </c>
      <c r="B6" s="8" t="s">
        <v>988</v>
      </c>
    </row>
    <row r="7" spans="1:2" x14ac:dyDescent="0.2">
      <c r="A7" s="8" t="s">
        <v>989</v>
      </c>
      <c r="B7" s="8" t="s">
        <v>990</v>
      </c>
    </row>
    <row r="8" spans="1:2" x14ac:dyDescent="0.2">
      <c r="A8" s="8" t="s">
        <v>991</v>
      </c>
      <c r="B8" s="8" t="s">
        <v>992</v>
      </c>
    </row>
    <row r="9" spans="1:2" x14ac:dyDescent="0.2">
      <c r="A9" s="8" t="s">
        <v>249</v>
      </c>
      <c r="B9" s="8" t="s">
        <v>250</v>
      </c>
    </row>
    <row r="10" spans="1:2" x14ac:dyDescent="0.2">
      <c r="A10" s="8" t="s">
        <v>993</v>
      </c>
      <c r="B10" s="8" t="s">
        <v>994</v>
      </c>
    </row>
    <row r="11" spans="1:2" x14ac:dyDescent="0.2">
      <c r="A11" s="8" t="s">
        <v>995</v>
      </c>
      <c r="B11" s="8" t="s">
        <v>996</v>
      </c>
    </row>
    <row r="12" spans="1:2" x14ac:dyDescent="0.2">
      <c r="A12" s="8" t="s">
        <v>253</v>
      </c>
      <c r="B12" s="8" t="s">
        <v>997</v>
      </c>
    </row>
    <row r="13" spans="1:2" x14ac:dyDescent="0.2">
      <c r="A13" s="8" t="s">
        <v>253</v>
      </c>
      <c r="B13" s="8" t="s">
        <v>524</v>
      </c>
    </row>
    <row r="14" spans="1:2" x14ac:dyDescent="0.2">
      <c r="A14" s="8" t="s">
        <v>257</v>
      </c>
      <c r="B14" s="8" t="s">
        <v>258</v>
      </c>
    </row>
    <row r="15" spans="1:2" x14ac:dyDescent="0.2">
      <c r="A15" s="8" t="s">
        <v>998</v>
      </c>
      <c r="B15" s="8" t="s">
        <v>984</v>
      </c>
    </row>
    <row r="16" spans="1:2" x14ac:dyDescent="0.2">
      <c r="A16" s="8" t="s">
        <v>738</v>
      </c>
      <c r="B16" s="8" t="s">
        <v>984</v>
      </c>
    </row>
    <row r="17" spans="1:2" x14ac:dyDescent="0.2">
      <c r="A17" s="8" t="s">
        <v>503</v>
      </c>
      <c r="B17" s="8" t="s">
        <v>778</v>
      </c>
    </row>
    <row r="18" spans="1:2" x14ac:dyDescent="0.2">
      <c r="A18" s="8" t="s">
        <v>503</v>
      </c>
      <c r="B18" s="8" t="s">
        <v>741</v>
      </c>
    </row>
    <row r="19" spans="1:2" x14ac:dyDescent="0.2">
      <c r="A19" s="8" t="s">
        <v>999</v>
      </c>
      <c r="B19" s="8" t="s">
        <v>1000</v>
      </c>
    </row>
    <row r="20" spans="1:2" x14ac:dyDescent="0.2">
      <c r="A20" s="8" t="s">
        <v>1001</v>
      </c>
      <c r="B20" s="8" t="s">
        <v>1002</v>
      </c>
    </row>
    <row r="21" spans="1:2" x14ac:dyDescent="0.2">
      <c r="A21" s="8" t="s">
        <v>1003</v>
      </c>
      <c r="B21" s="8" t="s">
        <v>1004</v>
      </c>
    </row>
    <row r="22" spans="1:2" x14ac:dyDescent="0.2">
      <c r="A22" s="8" t="s">
        <v>786</v>
      </c>
      <c r="B22" s="8" t="s">
        <v>787</v>
      </c>
    </row>
    <row r="23" spans="1:2" x14ac:dyDescent="0.2">
      <c r="A23" s="8" t="s">
        <v>1005</v>
      </c>
      <c r="B23" s="8" t="s">
        <v>1006</v>
      </c>
    </row>
    <row r="24" spans="1:2" x14ac:dyDescent="0.2">
      <c r="A24" s="8" t="s">
        <v>1007</v>
      </c>
      <c r="B24" s="8" t="s">
        <v>1008</v>
      </c>
    </row>
    <row r="25" spans="1:2" x14ac:dyDescent="0.2">
      <c r="A25" s="8" t="s">
        <v>1009</v>
      </c>
      <c r="B25" s="8" t="s">
        <v>1010</v>
      </c>
    </row>
    <row r="26" spans="1:2" x14ac:dyDescent="0.2">
      <c r="A26" s="8" t="s">
        <v>1011</v>
      </c>
      <c r="B26" s="8" t="s">
        <v>1012</v>
      </c>
    </row>
    <row r="27" spans="1:2" x14ac:dyDescent="0.2">
      <c r="A27" s="8" t="s">
        <v>1013</v>
      </c>
      <c r="B27" s="8" t="s">
        <v>1014</v>
      </c>
    </row>
    <row r="28" spans="1:2" x14ac:dyDescent="0.2">
      <c r="A28" s="8" t="s">
        <v>1015</v>
      </c>
      <c r="B28" s="8" t="s">
        <v>1016</v>
      </c>
    </row>
    <row r="29" spans="1:2" x14ac:dyDescent="0.2">
      <c r="A29" s="8" t="s">
        <v>1017</v>
      </c>
      <c r="B29" s="8" t="s">
        <v>1018</v>
      </c>
    </row>
    <row r="30" spans="1:2" x14ac:dyDescent="0.2">
      <c r="A30" s="8" t="s">
        <v>1019</v>
      </c>
      <c r="B30" s="8" t="s">
        <v>1020</v>
      </c>
    </row>
    <row r="31" spans="1:2" x14ac:dyDescent="0.2">
      <c r="A31" s="8" t="s">
        <v>817</v>
      </c>
      <c r="B31" s="8" t="s">
        <v>818</v>
      </c>
    </row>
    <row r="32" spans="1:2" x14ac:dyDescent="0.2">
      <c r="A32" s="8" t="s">
        <v>819</v>
      </c>
      <c r="B32" s="8" t="s">
        <v>1021</v>
      </c>
    </row>
    <row r="33" spans="1:2" x14ac:dyDescent="0.2">
      <c r="A33" s="8" t="s">
        <v>821</v>
      </c>
      <c r="B33" s="8" t="s">
        <v>822</v>
      </c>
    </row>
    <row r="34" spans="1:2" x14ac:dyDescent="0.2">
      <c r="A34" s="8" t="s">
        <v>823</v>
      </c>
      <c r="B34" s="8" t="s">
        <v>824</v>
      </c>
    </row>
    <row r="35" spans="1:2" x14ac:dyDescent="0.2">
      <c r="A35" s="8" t="s">
        <v>825</v>
      </c>
      <c r="B35" s="8" t="s">
        <v>826</v>
      </c>
    </row>
    <row r="36" spans="1:2" x14ac:dyDescent="0.2">
      <c r="A36" s="8" t="s">
        <v>827</v>
      </c>
      <c r="B36" s="8" t="s">
        <v>1022</v>
      </c>
    </row>
    <row r="37" spans="1:2" x14ac:dyDescent="0.2">
      <c r="A37" s="8" t="s">
        <v>1023</v>
      </c>
      <c r="B37" s="8" t="s">
        <v>1024</v>
      </c>
    </row>
    <row r="38" spans="1:2" x14ac:dyDescent="0.2">
      <c r="A38" s="8" t="s">
        <v>397</v>
      </c>
      <c r="B38" s="8" t="s">
        <v>1025</v>
      </c>
    </row>
    <row r="39" spans="1:2" x14ac:dyDescent="0.2">
      <c r="A39" s="8" t="s">
        <v>829</v>
      </c>
      <c r="B39" s="8" t="s">
        <v>830</v>
      </c>
    </row>
    <row r="40" spans="1:2" x14ac:dyDescent="0.2">
      <c r="A40" s="8" t="s">
        <v>1026</v>
      </c>
      <c r="B40" s="8" t="s">
        <v>1027</v>
      </c>
    </row>
    <row r="41" spans="1:2" x14ac:dyDescent="0.2">
      <c r="A41" s="8" t="s">
        <v>1028</v>
      </c>
      <c r="B41" s="8" t="s">
        <v>1029</v>
      </c>
    </row>
    <row r="42" spans="1:2" x14ac:dyDescent="0.2">
      <c r="A42" s="8" t="s">
        <v>831</v>
      </c>
      <c r="B42" s="8" t="s">
        <v>832</v>
      </c>
    </row>
    <row r="43" spans="1:2" x14ac:dyDescent="0.2">
      <c r="A43" s="8" t="s">
        <v>833</v>
      </c>
      <c r="B43" s="8" t="s">
        <v>834</v>
      </c>
    </row>
    <row r="44" spans="1:2" x14ac:dyDescent="0.2">
      <c r="A44" s="8" t="s">
        <v>835</v>
      </c>
      <c r="B44" s="8" t="s">
        <v>1030</v>
      </c>
    </row>
    <row r="45" spans="1:2" x14ac:dyDescent="0.2">
      <c r="A45" s="8" t="s">
        <v>837</v>
      </c>
      <c r="B45" s="8" t="s">
        <v>838</v>
      </c>
    </row>
    <row r="46" spans="1:2" x14ac:dyDescent="0.2">
      <c r="A46" s="8" t="s">
        <v>839</v>
      </c>
      <c r="B46" s="8" t="s">
        <v>840</v>
      </c>
    </row>
    <row r="47" spans="1:2" x14ac:dyDescent="0.2">
      <c r="A47" s="8" t="s">
        <v>841</v>
      </c>
      <c r="B47" s="8" t="s">
        <v>842</v>
      </c>
    </row>
    <row r="48" spans="1:2" x14ac:dyDescent="0.2">
      <c r="A48" s="8" t="s">
        <v>843</v>
      </c>
      <c r="B48" s="8" t="s">
        <v>844</v>
      </c>
    </row>
    <row r="49" spans="1:2" x14ac:dyDescent="0.2">
      <c r="A49" s="8" t="s">
        <v>845</v>
      </c>
      <c r="B49" s="8" t="s">
        <v>1031</v>
      </c>
    </row>
    <row r="50" spans="1:2" x14ac:dyDescent="0.2">
      <c r="A50" s="8" t="s">
        <v>847</v>
      </c>
      <c r="B50" s="8" t="s">
        <v>848</v>
      </c>
    </row>
    <row r="51" spans="1:2" x14ac:dyDescent="0.2">
      <c r="A51" s="8" t="s">
        <v>849</v>
      </c>
      <c r="B51" s="8" t="s">
        <v>856</v>
      </c>
    </row>
    <row r="52" spans="1:2" x14ac:dyDescent="0.2">
      <c r="A52" s="8" t="s">
        <v>851</v>
      </c>
      <c r="B52" s="8" t="s">
        <v>1032</v>
      </c>
    </row>
    <row r="53" spans="1:2" x14ac:dyDescent="0.2">
      <c r="A53" s="8" t="s">
        <v>853</v>
      </c>
      <c r="B53" s="8" t="s">
        <v>1033</v>
      </c>
    </row>
    <row r="54" spans="1:2" x14ac:dyDescent="0.2">
      <c r="A54" s="8" t="s">
        <v>855</v>
      </c>
      <c r="B54" s="8" t="s">
        <v>856</v>
      </c>
    </row>
    <row r="55" spans="1:2" x14ac:dyDescent="0.2">
      <c r="A55" s="8" t="s">
        <v>514</v>
      </c>
      <c r="B55" s="8" t="s">
        <v>636</v>
      </c>
    </row>
    <row r="56" spans="1:2" x14ac:dyDescent="0.2">
      <c r="A56" s="8" t="s">
        <v>1034</v>
      </c>
      <c r="B56" s="8" t="s">
        <v>1035</v>
      </c>
    </row>
    <row r="57" spans="1:2" x14ac:dyDescent="0.2">
      <c r="A57" s="8" t="s">
        <v>857</v>
      </c>
      <c r="B57" s="8" t="s">
        <v>858</v>
      </c>
    </row>
    <row r="58" spans="1:2" x14ac:dyDescent="0.2">
      <c r="A58" s="8" t="s">
        <v>859</v>
      </c>
      <c r="B58" s="8" t="s">
        <v>860</v>
      </c>
    </row>
    <row r="59" spans="1:2" x14ac:dyDescent="0.2">
      <c r="A59" s="8" t="s">
        <v>1036</v>
      </c>
      <c r="B59" s="8" t="s">
        <v>1037</v>
      </c>
    </row>
    <row r="60" spans="1:2" x14ac:dyDescent="0.2">
      <c r="A60" s="8" t="s">
        <v>861</v>
      </c>
      <c r="B60" s="8" t="s">
        <v>1038</v>
      </c>
    </row>
    <row r="61" spans="1:2" x14ac:dyDescent="0.2">
      <c r="A61" s="8" t="s">
        <v>865</v>
      </c>
      <c r="B61" s="8" t="s">
        <v>1039</v>
      </c>
    </row>
    <row r="62" spans="1:2" x14ac:dyDescent="0.2">
      <c r="A62" s="8" t="s">
        <v>867</v>
      </c>
      <c r="B62" s="8" t="s">
        <v>1040</v>
      </c>
    </row>
    <row r="63" spans="1:2" x14ac:dyDescent="0.2">
      <c r="A63" s="8" t="s">
        <v>1041</v>
      </c>
      <c r="B63" s="8" t="s">
        <v>1042</v>
      </c>
    </row>
    <row r="64" spans="1:2" x14ac:dyDescent="0.2">
      <c r="A64" s="8" t="s">
        <v>1043</v>
      </c>
      <c r="B64" s="8" t="s">
        <v>1044</v>
      </c>
    </row>
    <row r="65" spans="1:2" x14ac:dyDescent="0.2">
      <c r="A65" s="8" t="s">
        <v>1045</v>
      </c>
      <c r="B65" s="8" t="s">
        <v>1046</v>
      </c>
    </row>
    <row r="66" spans="1:2" x14ac:dyDescent="0.2">
      <c r="A66" s="8" t="s">
        <v>1047</v>
      </c>
      <c r="B66" s="8" t="s">
        <v>1048</v>
      </c>
    </row>
    <row r="67" spans="1:2" x14ac:dyDescent="0.2">
      <c r="A67" s="8" t="s">
        <v>1049</v>
      </c>
      <c r="B67" s="8" t="s">
        <v>1050</v>
      </c>
    </row>
    <row r="68" spans="1:2" x14ac:dyDescent="0.2">
      <c r="A68" s="8" t="s">
        <v>869</v>
      </c>
      <c r="B68" s="8" t="s">
        <v>870</v>
      </c>
    </row>
    <row r="69" spans="1:2" x14ac:dyDescent="0.2">
      <c r="A69" s="8" t="s">
        <v>1051</v>
      </c>
      <c r="B69" s="8" t="s">
        <v>426</v>
      </c>
    </row>
    <row r="70" spans="1:2" x14ac:dyDescent="0.2">
      <c r="A70" s="8" t="s">
        <v>515</v>
      </c>
      <c r="B70" s="8" t="s">
        <v>636</v>
      </c>
    </row>
    <row r="71" spans="1:2" x14ac:dyDescent="0.2">
      <c r="A71" s="8" t="s">
        <v>432</v>
      </c>
      <c r="B71" s="8" t="s">
        <v>875</v>
      </c>
    </row>
    <row r="72" spans="1:2" x14ac:dyDescent="0.2">
      <c r="A72" s="8" t="s">
        <v>1052</v>
      </c>
      <c r="B72" s="8" t="s">
        <v>1053</v>
      </c>
    </row>
    <row r="73" spans="1:2" x14ac:dyDescent="0.2">
      <c r="A73" s="8" t="s">
        <v>1054</v>
      </c>
      <c r="B73" s="8" t="s">
        <v>1055</v>
      </c>
    </row>
    <row r="74" spans="1:2" x14ac:dyDescent="0.2">
      <c r="A74" s="8" t="s">
        <v>982</v>
      </c>
      <c r="B74" s="8" t="s">
        <v>983</v>
      </c>
    </row>
    <row r="75" spans="1:2" x14ac:dyDescent="0.2">
      <c r="A75" s="8" t="s">
        <v>1056</v>
      </c>
      <c r="B75" s="8" t="s">
        <v>1057</v>
      </c>
    </row>
    <row r="76" spans="1:2" x14ac:dyDescent="0.2">
      <c r="A76" s="8" t="s">
        <v>740</v>
      </c>
      <c r="B76" s="8" t="s">
        <v>741</v>
      </c>
    </row>
    <row r="77" spans="1:2" x14ac:dyDescent="0.2">
      <c r="A77" s="8" t="s">
        <v>1058</v>
      </c>
      <c r="B77" s="8" t="s">
        <v>1059</v>
      </c>
    </row>
    <row r="78" spans="1:2" x14ac:dyDescent="0.2">
      <c r="A78" s="8" t="s">
        <v>436</v>
      </c>
      <c r="B78" s="8" t="s">
        <v>636</v>
      </c>
    </row>
    <row r="79" spans="1:2" x14ac:dyDescent="0.2">
      <c r="A79" s="8" t="s">
        <v>591</v>
      </c>
      <c r="B79" s="8" t="s">
        <v>1060</v>
      </c>
    </row>
    <row r="80" spans="1:2" x14ac:dyDescent="0.2">
      <c r="A80" s="8" t="s">
        <v>1061</v>
      </c>
      <c r="B80" s="8" t="s">
        <v>1062</v>
      </c>
    </row>
    <row r="81" spans="1:2" x14ac:dyDescent="0.2">
      <c r="A81" s="8" t="s">
        <v>1063</v>
      </c>
      <c r="B81" s="8" t="s">
        <v>1064</v>
      </c>
    </row>
    <row r="82" spans="1:2" x14ac:dyDescent="0.2">
      <c r="A82" s="8" t="s">
        <v>906</v>
      </c>
      <c r="B82" s="8" t="s">
        <v>907</v>
      </c>
    </row>
    <row r="83" spans="1:2" x14ac:dyDescent="0.2">
      <c r="A83" s="8" t="s">
        <v>914</v>
      </c>
      <c r="B83" s="8" t="s">
        <v>1065</v>
      </c>
    </row>
    <row r="84" spans="1:2" x14ac:dyDescent="0.2">
      <c r="A84" s="8" t="s">
        <v>1066</v>
      </c>
      <c r="B84" s="8" t="s">
        <v>1067</v>
      </c>
    </row>
    <row r="85" spans="1:2" x14ac:dyDescent="0.2">
      <c r="A85" s="8" t="s">
        <v>1068</v>
      </c>
      <c r="B85" s="8" t="s">
        <v>1069</v>
      </c>
    </row>
    <row r="86" spans="1:2" x14ac:dyDescent="0.2">
      <c r="A86" s="8" t="s">
        <v>951</v>
      </c>
      <c r="B86" s="8" t="s">
        <v>952</v>
      </c>
    </row>
    <row r="87" spans="1:2" x14ac:dyDescent="0.2">
      <c r="A87" s="8" t="s">
        <v>1070</v>
      </c>
      <c r="B87" s="8" t="s">
        <v>1071</v>
      </c>
    </row>
    <row r="88" spans="1:2" x14ac:dyDescent="0.2">
      <c r="A88" s="8" t="s">
        <v>315</v>
      </c>
      <c r="B88" s="8" t="s">
        <v>317</v>
      </c>
    </row>
    <row r="89" spans="1:2" x14ac:dyDescent="0.2">
      <c r="A89" s="8" t="s">
        <v>318</v>
      </c>
      <c r="B89" s="8" t="s">
        <v>319</v>
      </c>
    </row>
    <row r="90" spans="1:2" x14ac:dyDescent="0.2">
      <c r="A90" s="8" t="s">
        <v>320</v>
      </c>
      <c r="B90" s="8" t="s">
        <v>321</v>
      </c>
    </row>
    <row r="91" spans="1:2" x14ac:dyDescent="0.2">
      <c r="A91" s="8" t="s">
        <v>985</v>
      </c>
      <c r="B91" s="8" t="s">
        <v>830</v>
      </c>
    </row>
    <row r="92" spans="1:2" x14ac:dyDescent="0.2">
      <c r="A92" s="159" t="s">
        <v>978</v>
      </c>
      <c r="B92" s="160"/>
    </row>
    <row r="93" spans="1:2" x14ac:dyDescent="0.2">
      <c r="A93" s="163" t="s">
        <v>979</v>
      </c>
      <c r="B93" s="164"/>
    </row>
    <row r="94" spans="1:2" x14ac:dyDescent="0.2">
      <c r="A94" s="163" t="s">
        <v>980</v>
      </c>
      <c r="B94" s="164"/>
    </row>
    <row r="95" spans="1:2" x14ac:dyDescent="0.2">
      <c r="A95" s="163" t="s">
        <v>981</v>
      </c>
      <c r="B95" s="164"/>
    </row>
    <row r="96" spans="1:2" x14ac:dyDescent="0.2">
      <c r="A96" s="163" t="s">
        <v>732</v>
      </c>
      <c r="B96" s="164"/>
    </row>
    <row r="97" spans="1:2" x14ac:dyDescent="0.2">
      <c r="A97" s="161" t="s">
        <v>733</v>
      </c>
      <c r="B97" s="162"/>
    </row>
  </sheetData>
  <sheetProtection algorithmName="SHA-512" hashValue="jmcQ9N5HRn8SUKfDy3Z5hzojkYdLFfcRZ81CHlSq74G+MfCalJx2dtYCR7TISAimk+f0yj1EnGRiEqJG9zz5EA==" saltValue="YxlRiEhEtIxnqpVZfvhU8g==" spinCount="100000" sheet="1" objects="1" scenarios="1" selectLockedCells="1"/>
  <mergeCells count="6">
    <mergeCell ref="A92:B92"/>
    <mergeCell ref="A97:B97"/>
    <mergeCell ref="A96:B96"/>
    <mergeCell ref="A95:B95"/>
    <mergeCell ref="A94:B94"/>
    <mergeCell ref="A93:B9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enableFormatConditionsCalculation="0"/>
  <dimension ref="A1:B25"/>
  <sheetViews>
    <sheetView showGridLines="0" workbookViewId="0">
      <selection activeCell="E19" sqref="E19"/>
    </sheetView>
  </sheetViews>
  <sheetFormatPr baseColWidth="10" defaultColWidth="8.83203125" defaultRowHeight="15" x14ac:dyDescent="0.2"/>
  <cols>
    <col min="2" max="2" width="83.83203125" bestFit="1" customWidth="1"/>
  </cols>
  <sheetData>
    <row r="1" spans="1:2" x14ac:dyDescent="0.2">
      <c r="A1" s="8" t="s">
        <v>1072</v>
      </c>
      <c r="B1" s="8" t="s">
        <v>1073</v>
      </c>
    </row>
    <row r="2" spans="1:2" x14ac:dyDescent="0.2">
      <c r="A2" s="8" t="s">
        <v>1074</v>
      </c>
      <c r="B2" s="8" t="s">
        <v>1075</v>
      </c>
    </row>
    <row r="3" spans="1:2" x14ac:dyDescent="0.2">
      <c r="A3" s="8" t="s">
        <v>530</v>
      </c>
      <c r="B3" s="8" t="s">
        <v>531</v>
      </c>
    </row>
    <row r="4" spans="1:2" x14ac:dyDescent="0.2">
      <c r="A4" s="8" t="s">
        <v>532</v>
      </c>
      <c r="B4" s="8" t="s">
        <v>533</v>
      </c>
    </row>
    <row r="5" spans="1:2" x14ac:dyDescent="0.2">
      <c r="A5" s="8" t="s">
        <v>1076</v>
      </c>
      <c r="B5" s="8" t="s">
        <v>1077</v>
      </c>
    </row>
    <row r="6" spans="1:2" x14ac:dyDescent="0.2">
      <c r="A6" s="8" t="s">
        <v>1078</v>
      </c>
      <c r="B6" s="8" t="s">
        <v>1079</v>
      </c>
    </row>
    <row r="7" spans="1:2" x14ac:dyDescent="0.2">
      <c r="A7" s="8" t="s">
        <v>1080</v>
      </c>
      <c r="B7" s="8" t="s">
        <v>1081</v>
      </c>
    </row>
    <row r="8" spans="1:2" x14ac:dyDescent="0.2">
      <c r="A8" s="8" t="s">
        <v>1082</v>
      </c>
      <c r="B8" s="8" t="s">
        <v>1083</v>
      </c>
    </row>
    <row r="9" spans="1:2" x14ac:dyDescent="0.2">
      <c r="A9" s="8" t="s">
        <v>1084</v>
      </c>
      <c r="B9" s="8" t="s">
        <v>1085</v>
      </c>
    </row>
    <row r="10" spans="1:2" x14ac:dyDescent="0.2">
      <c r="A10" s="8" t="s">
        <v>157</v>
      </c>
      <c r="B10" s="8" t="s">
        <v>1086</v>
      </c>
    </row>
    <row r="11" spans="1:2" x14ac:dyDescent="0.2">
      <c r="A11" s="8" t="s">
        <v>411</v>
      </c>
      <c r="B11" s="8" t="s">
        <v>1087</v>
      </c>
    </row>
    <row r="12" spans="1:2" x14ac:dyDescent="0.2">
      <c r="A12" s="8" t="s">
        <v>1088</v>
      </c>
      <c r="B12" s="8" t="s">
        <v>1089</v>
      </c>
    </row>
    <row r="13" spans="1:2" x14ac:dyDescent="0.2">
      <c r="A13" s="8" t="s">
        <v>1090</v>
      </c>
      <c r="B13" s="8" t="s">
        <v>1089</v>
      </c>
    </row>
    <row r="14" spans="1:2" x14ac:dyDescent="0.2">
      <c r="A14" s="8" t="s">
        <v>1095</v>
      </c>
      <c r="B14" s="8" t="s">
        <v>1091</v>
      </c>
    </row>
    <row r="15" spans="1:2" x14ac:dyDescent="0.2">
      <c r="A15" s="8" t="s">
        <v>1092</v>
      </c>
      <c r="B15" s="8" t="s">
        <v>1093</v>
      </c>
    </row>
    <row r="16" spans="1:2" x14ac:dyDescent="0.2">
      <c r="A16" s="8" t="s">
        <v>1094</v>
      </c>
      <c r="B16" s="8" t="s">
        <v>1096</v>
      </c>
    </row>
    <row r="17" spans="1:2" x14ac:dyDescent="0.2">
      <c r="A17" s="8" t="s">
        <v>433</v>
      </c>
      <c r="B17" s="8" t="s">
        <v>1097</v>
      </c>
    </row>
    <row r="18" spans="1:2" x14ac:dyDescent="0.2">
      <c r="A18" s="8" t="s">
        <v>433</v>
      </c>
      <c r="B18" s="8" t="s">
        <v>1098</v>
      </c>
    </row>
    <row r="19" spans="1:2" x14ac:dyDescent="0.2">
      <c r="A19" s="8" t="s">
        <v>1099</v>
      </c>
      <c r="B19" s="8" t="s">
        <v>1100</v>
      </c>
    </row>
    <row r="20" spans="1:2" x14ac:dyDescent="0.2">
      <c r="A20" s="8" t="s">
        <v>1101</v>
      </c>
      <c r="B20" s="8" t="s">
        <v>1103</v>
      </c>
    </row>
    <row r="21" spans="1:2" x14ac:dyDescent="0.2">
      <c r="A21" s="8" t="s">
        <v>1102</v>
      </c>
      <c r="B21" s="8" t="s">
        <v>1104</v>
      </c>
    </row>
    <row r="22" spans="1:2" x14ac:dyDescent="0.2">
      <c r="A22" s="8" t="s">
        <v>1105</v>
      </c>
      <c r="B22" s="8" t="s">
        <v>1106</v>
      </c>
    </row>
    <row r="23" spans="1:2" x14ac:dyDescent="0.2">
      <c r="A23" s="8" t="s">
        <v>1107</v>
      </c>
      <c r="B23" s="8" t="s">
        <v>1108</v>
      </c>
    </row>
    <row r="24" spans="1:2" x14ac:dyDescent="0.2">
      <c r="A24" s="8" t="s">
        <v>1109</v>
      </c>
      <c r="B24" s="8" t="s">
        <v>1071</v>
      </c>
    </row>
    <row r="25" spans="1:2" x14ac:dyDescent="0.2">
      <c r="A25" s="8" t="s">
        <v>1110</v>
      </c>
      <c r="B25" s="8" t="s">
        <v>1111</v>
      </c>
    </row>
  </sheetData>
  <sheetProtection algorithmName="SHA-512" hashValue="ekUwiXYsxfRoOjws/XqCtLyTzqC5bquoMedvagC1WIGzBwyUR1xqnCdT3kg9sa9eH5qTJS4id/Q+GhXwHUNtqQ==" saltValue="bRwNFUfVp6K5teNhpe0izQ==" spinCount="100000" sheet="1" objects="1" scenarios="1" select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Sheet1</vt:lpstr>
      <vt:lpstr>COURSES_ADV</vt:lpstr>
      <vt:lpstr>AOC_AS_NON_100L</vt:lpstr>
      <vt:lpstr>ART_AOI</vt:lpstr>
      <vt:lpstr>CITZ_AOI</vt:lpstr>
      <vt:lpstr>CRIT_AOI</vt:lpstr>
      <vt:lpstr>GLOB_AOI</vt:lpstr>
      <vt:lpstr>HIST_AOI</vt:lpstr>
      <vt:lpstr>INFO_AOI</vt:lpstr>
      <vt:lpstr>LIFE_AOI</vt:lpstr>
      <vt:lpstr>PHSC_AOI</vt:lpstr>
      <vt:lpstr>SCI._LAB_AOI</vt:lpstr>
      <vt:lpstr>QUAN_AOI</vt:lpstr>
      <vt:lpstr>VE_AOI</vt:lpstr>
      <vt:lpstr>WRIT_AOI</vt:lpstr>
      <vt:lpstr>JMC Courses</vt:lpstr>
      <vt:lpstr>A&amp;S</vt:lpstr>
    </vt:vector>
  </TitlesOfParts>
  <Company>Drake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Mallory Quinn</dc:creator>
  <cp:lastModifiedBy>Microsoft Office User</cp:lastModifiedBy>
  <dcterms:created xsi:type="dcterms:W3CDTF">2016-03-18T15:26:21Z</dcterms:created>
  <dcterms:modified xsi:type="dcterms:W3CDTF">2017-10-04T14:25:37Z</dcterms:modified>
</cp:coreProperties>
</file>